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Commercial Auto\Zone-Rated\State Folders\ME\"/>
    </mc:Choice>
  </mc:AlternateContent>
  <xr:revisionPtr revIDLastSave="0" documentId="13_ncr:1_{419CA009-F085-4E57-8191-C6B34DA5C3AA}" xr6:coauthVersionLast="45" xr6:coauthVersionMax="45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58" r:id="rId4"/>
    <sheet name="EXHIBIT A3" sheetId="57" r:id="rId5"/>
    <sheet name="EXHIBIT B1" sheetId="1" r:id="rId6"/>
    <sheet name="EXHIBIT B2" sheetId="3" r:id="rId7"/>
    <sheet name="EXHIBIT C1" sheetId="46" r:id="rId8"/>
    <sheet name="EXHIBIT C2" sheetId="33" r:id="rId9"/>
    <sheet name="EXHIBIT C3" sheetId="42" r:id="rId10"/>
    <sheet name="EXHIBIT C4" sheetId="43" r:id="rId11"/>
    <sheet name="EXHIBIT C5" sheetId="45" r:id="rId12"/>
    <sheet name="EXHIBIT C6" sheetId="49" r:id="rId13"/>
    <sheet name="EXHIBIT C7" sheetId="50" r:id="rId14"/>
    <sheet name="EXHIBIT C8" sheetId="27" r:id="rId15"/>
    <sheet name="EXHIBIT C9" sheetId="29" r:id="rId16"/>
    <sheet name="EXHIBIT C10" sheetId="31" r:id="rId17"/>
  </sheets>
  <definedNames>
    <definedName name="_xlnm.Print_Area" localSheetId="2">'EXHIBIT A1'!$A$1:$I$49</definedName>
    <definedName name="_xlnm.Print_Area" localSheetId="5">'EXHIBIT B1'!$A$1:$K$107</definedName>
    <definedName name="_xlnm.Print_Area" localSheetId="6">'EXHIBIT B2'!$A$1:$M$158</definedName>
    <definedName name="_xlnm.Print_Area" localSheetId="7">'EXHIBIT C1'!$A$1:$T$47</definedName>
    <definedName name="_xlnm.Print_Area" localSheetId="8">'EXHIBIT C2'!$A$1:$L$42</definedName>
    <definedName name="_xlnm.Print_Area" localSheetId="9">'EXHIBIT C3'!$A$1:$J$47</definedName>
    <definedName name="_xlnm.Print_Area" localSheetId="10">'EXHIBIT C4'!$A$1:$K$47</definedName>
    <definedName name="_xlnm.Print_Area" localSheetId="11">'EXHIBIT C5'!$A$1:$L$57</definedName>
    <definedName name="_xlnm.Print_Area" localSheetId="12">'EXHIBIT C6'!$A$1:$AC$48</definedName>
    <definedName name="_xlnm.Print_Area" localSheetId="13">'EXHIBIT C7'!$A$1:$AC$48</definedName>
    <definedName name="_xlnm.Print_Area" localSheetId="15">'EXHIBIT C9'!$A$1:$G$175</definedName>
    <definedName name="_xlnm.Print_Area" localSheetId="0">'User Notes'!$A$1:$F$50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7" i="33" l="1"/>
  <c r="N27" i="33"/>
  <c r="G48" i="38" l="1"/>
  <c r="G47" i="38"/>
  <c r="C47" i="38"/>
  <c r="G46" i="38"/>
  <c r="G43" i="38"/>
  <c r="G33" i="38"/>
  <c r="G32" i="38"/>
  <c r="C32" i="38"/>
  <c r="G31" i="38"/>
  <c r="G28" i="38"/>
  <c r="C15" i="38"/>
  <c r="C10" i="38" l="1"/>
  <c r="F133" i="31"/>
  <c r="F132" i="31"/>
  <c r="B71" i="31"/>
  <c r="C160" i="31"/>
  <c r="B161" i="31"/>
  <c r="B162" i="31"/>
  <c r="B163" i="31"/>
  <c r="B164" i="31"/>
  <c r="B165" i="31"/>
  <c r="B166" i="31"/>
  <c r="B160" i="31"/>
  <c r="D128" i="31"/>
  <c r="C128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C168" i="31"/>
  <c r="B168" i="31"/>
  <c r="C165" i="31"/>
  <c r="D164" i="31"/>
  <c r="C164" i="31"/>
  <c r="E163" i="31"/>
  <c r="D163" i="31"/>
  <c r="C163" i="31"/>
  <c r="F162" i="31"/>
  <c r="E162" i="31"/>
  <c r="D162" i="31"/>
  <c r="C162" i="31"/>
  <c r="F161" i="31"/>
  <c r="E161" i="31"/>
  <c r="D161" i="31"/>
  <c r="C161" i="31"/>
  <c r="F160" i="31"/>
  <c r="E160" i="31"/>
  <c r="D160" i="31"/>
  <c r="B77" i="31"/>
  <c r="C76" i="31"/>
  <c r="B76" i="31"/>
  <c r="D75" i="31"/>
  <c r="C75" i="31"/>
  <c r="B75" i="31"/>
  <c r="E74" i="31"/>
  <c r="D74" i="31"/>
  <c r="C74" i="31"/>
  <c r="C79" i="31" s="1"/>
  <c r="B74" i="31"/>
  <c r="B79" i="31" s="1"/>
  <c r="F73" i="31"/>
  <c r="E73" i="31"/>
  <c r="D73" i="31"/>
  <c r="C73" i="31"/>
  <c r="B73" i="31"/>
  <c r="F72" i="31"/>
  <c r="F79" i="31" s="1"/>
  <c r="F84" i="31" s="1"/>
  <c r="E72" i="31"/>
  <c r="D72" i="31"/>
  <c r="C72" i="31"/>
  <c r="B72" i="31"/>
  <c r="F71" i="31"/>
  <c r="E71" i="31"/>
  <c r="E79" i="31" s="1"/>
  <c r="D71" i="31"/>
  <c r="D79" i="31" s="1"/>
  <c r="C71" i="31"/>
  <c r="E40" i="31"/>
  <c r="D40" i="31"/>
  <c r="C38" i="31"/>
  <c r="D37" i="31"/>
  <c r="C37" i="31"/>
  <c r="E36" i="31"/>
  <c r="D36" i="31"/>
  <c r="C36" i="31"/>
  <c r="F35" i="31"/>
  <c r="E35" i="31"/>
  <c r="D35" i="31"/>
  <c r="C35" i="31"/>
  <c r="F34" i="31"/>
  <c r="E34" i="31"/>
  <c r="D34" i="31"/>
  <c r="C34" i="31"/>
  <c r="C40" i="31" s="1"/>
  <c r="F33" i="31"/>
  <c r="E33" i="31"/>
  <c r="D33" i="31"/>
  <c r="C33" i="31"/>
  <c r="F32" i="31"/>
  <c r="E32" i="31"/>
  <c r="D32" i="31"/>
  <c r="C32" i="31"/>
  <c r="F31" i="31"/>
  <c r="F40" i="31" s="1"/>
  <c r="E31" i="31"/>
  <c r="D31" i="31"/>
  <c r="C31" i="31"/>
  <c r="F30" i="31"/>
  <c r="E30" i="31"/>
  <c r="D30" i="31"/>
  <c r="C30" i="31"/>
  <c r="F29" i="31"/>
  <c r="E29" i="31"/>
  <c r="D29" i="31"/>
  <c r="C29" i="31"/>
  <c r="F28" i="31"/>
  <c r="E28" i="31"/>
  <c r="D28" i="31"/>
  <c r="C28" i="31"/>
  <c r="C13" i="38" l="1"/>
  <c r="B10" i="38"/>
  <c r="A8" i="38" s="1"/>
  <c r="F168" i="31"/>
  <c r="F173" i="31" s="1"/>
  <c r="D168" i="31"/>
  <c r="E168" i="31"/>
  <c r="F174" i="31" s="1"/>
  <c r="F175" i="31" s="1"/>
  <c r="E128" i="31"/>
  <c r="F86" i="31"/>
  <c r="F87" i="31" s="1"/>
  <c r="F44" i="31" s="1"/>
  <c r="F45" i="31" s="1"/>
  <c r="F46" i="31" s="1"/>
  <c r="F47" i="31" s="1"/>
  <c r="F48" i="31" s="1"/>
  <c r="F85" i="31"/>
  <c r="F176" i="31" l="1"/>
  <c r="F134" i="31"/>
  <c r="F135" i="31" s="1"/>
  <c r="F136" i="31" s="1"/>
  <c r="G90" i="1" l="1"/>
  <c r="G91" i="1"/>
  <c r="G92" i="1"/>
  <c r="G93" i="1"/>
  <c r="I90" i="1"/>
  <c r="I91" i="1"/>
  <c r="I92" i="1"/>
  <c r="I93" i="1"/>
  <c r="E161" i="29"/>
  <c r="E162" i="29"/>
  <c r="E163" i="29"/>
  <c r="D161" i="29"/>
  <c r="D162" i="29"/>
  <c r="D163" i="29"/>
  <c r="D164" i="29"/>
  <c r="C161" i="29"/>
  <c r="C162" i="29"/>
  <c r="C163" i="29"/>
  <c r="C164" i="29"/>
  <c r="C165" i="29"/>
  <c r="B161" i="29"/>
  <c r="B162" i="29"/>
  <c r="B168" i="29" s="1"/>
  <c r="B163" i="29"/>
  <c r="B164" i="29"/>
  <c r="B165" i="29"/>
  <c r="B166" i="29"/>
  <c r="E160" i="29"/>
  <c r="D160" i="29"/>
  <c r="D168" i="29" s="1"/>
  <c r="C160" i="29"/>
  <c r="B160" i="29"/>
  <c r="C168" i="29"/>
  <c r="F128" i="29"/>
  <c r="C128" i="29"/>
  <c r="C126" i="29"/>
  <c r="D125" i="29"/>
  <c r="C125" i="29"/>
  <c r="E124" i="29"/>
  <c r="D124" i="29"/>
  <c r="C124" i="29"/>
  <c r="F123" i="29"/>
  <c r="E123" i="29"/>
  <c r="D123" i="29"/>
  <c r="C123" i="29"/>
  <c r="F122" i="29"/>
  <c r="E122" i="29"/>
  <c r="D122" i="29"/>
  <c r="D128" i="29" s="1"/>
  <c r="C122" i="29"/>
  <c r="F121" i="29"/>
  <c r="E121" i="29"/>
  <c r="D121" i="29"/>
  <c r="C121" i="29"/>
  <c r="F120" i="29"/>
  <c r="E120" i="29"/>
  <c r="E128" i="29" s="1"/>
  <c r="D120" i="29"/>
  <c r="C120" i="29"/>
  <c r="F119" i="29"/>
  <c r="E119" i="29"/>
  <c r="D119" i="29"/>
  <c r="C119" i="29"/>
  <c r="F118" i="29"/>
  <c r="E118" i="29"/>
  <c r="D118" i="29"/>
  <c r="C118" i="29"/>
  <c r="F117" i="29"/>
  <c r="E117" i="29"/>
  <c r="D117" i="29"/>
  <c r="C117" i="29"/>
  <c r="F116" i="29"/>
  <c r="E116" i="29"/>
  <c r="D116" i="29"/>
  <c r="C116" i="29"/>
  <c r="F73" i="29"/>
  <c r="F79" i="29" s="1"/>
  <c r="F84" i="29" s="1"/>
  <c r="F72" i="29"/>
  <c r="F71" i="29"/>
  <c r="E74" i="29"/>
  <c r="E73" i="29"/>
  <c r="E72" i="29"/>
  <c r="E79" i="29" s="1"/>
  <c r="E71" i="29"/>
  <c r="D75" i="29"/>
  <c r="D74" i="29"/>
  <c r="D73" i="29"/>
  <c r="D72" i="29"/>
  <c r="D71" i="29"/>
  <c r="D79" i="29" s="1"/>
  <c r="C72" i="29"/>
  <c r="C79" i="29" s="1"/>
  <c r="C73" i="29"/>
  <c r="C74" i="29"/>
  <c r="C75" i="29"/>
  <c r="C76" i="29"/>
  <c r="C71" i="29"/>
  <c r="B72" i="29"/>
  <c r="B73" i="29"/>
  <c r="B74" i="29"/>
  <c r="B75" i="29"/>
  <c r="B76" i="29"/>
  <c r="B77" i="29"/>
  <c r="B71" i="29"/>
  <c r="B79" i="29"/>
  <c r="F35" i="29"/>
  <c r="F34" i="29"/>
  <c r="F33" i="29"/>
  <c r="F40" i="29" s="1"/>
  <c r="F32" i="29"/>
  <c r="F31" i="29"/>
  <c r="F30" i="29"/>
  <c r="F29" i="29"/>
  <c r="F28" i="29"/>
  <c r="E36" i="29"/>
  <c r="E35" i="29"/>
  <c r="E34" i="29"/>
  <c r="E33" i="29"/>
  <c r="E32" i="29"/>
  <c r="E31" i="29"/>
  <c r="E30" i="29"/>
  <c r="E29" i="29"/>
  <c r="E28" i="29"/>
  <c r="D37" i="29"/>
  <c r="D36" i="29"/>
  <c r="D35" i="29"/>
  <c r="D34" i="29"/>
  <c r="D33" i="29"/>
  <c r="D40" i="29" s="1"/>
  <c r="D32" i="29"/>
  <c r="D31" i="29"/>
  <c r="D30" i="29"/>
  <c r="D29" i="29"/>
  <c r="D28" i="29"/>
  <c r="C38" i="29"/>
  <c r="C37" i="29"/>
  <c r="C36" i="29"/>
  <c r="C35" i="29"/>
  <c r="C34" i="29"/>
  <c r="C33" i="29"/>
  <c r="C32" i="29"/>
  <c r="C31" i="29"/>
  <c r="C30" i="29"/>
  <c r="C29" i="29"/>
  <c r="C28" i="29"/>
  <c r="E40" i="29"/>
  <c r="C40" i="29"/>
  <c r="A22" i="29"/>
  <c r="A21" i="29" s="1"/>
  <c r="A20" i="29" s="1"/>
  <c r="A19" i="29" s="1"/>
  <c r="A18" i="29" s="1"/>
  <c r="A17" i="29" s="1"/>
  <c r="A16" i="29" s="1"/>
  <c r="A15" i="29" s="1"/>
  <c r="A14" i="29" s="1"/>
  <c r="A13" i="29" s="1"/>
  <c r="A12" i="29" s="1"/>
  <c r="A11" i="29" s="1"/>
  <c r="A99" i="29" s="1"/>
  <c r="E168" i="29" l="1"/>
  <c r="F173" i="29" s="1"/>
  <c r="F174" i="29"/>
  <c r="F175" i="29" s="1"/>
  <c r="F132" i="29" s="1"/>
  <c r="F133" i="29" s="1"/>
  <c r="F85" i="29"/>
  <c r="F86" i="29" s="1"/>
  <c r="F87" i="29" s="1"/>
  <c r="F44" i="29" s="1"/>
  <c r="F45" i="29" s="1"/>
  <c r="F46" i="29" s="1"/>
  <c r="F47" i="29" s="1"/>
  <c r="F48" i="29" s="1"/>
  <c r="A75" i="29"/>
  <c r="A150" i="29"/>
  <c r="A74" i="29"/>
  <c r="A126" i="29"/>
  <c r="A32" i="29"/>
  <c r="A125" i="29"/>
  <c r="A117" i="29"/>
  <c r="A160" i="29"/>
  <c r="A34" i="29"/>
  <c r="A107" i="29"/>
  <c r="A161" i="29"/>
  <c r="A63" i="29"/>
  <c r="A118" i="29"/>
  <c r="A73" i="29"/>
  <c r="A61" i="29"/>
  <c r="A72" i="29"/>
  <c r="A104" i="29"/>
  <c r="A124" i="29"/>
  <c r="A148" i="29"/>
  <c r="A166" i="29"/>
  <c r="A116" i="29"/>
  <c r="A64" i="29"/>
  <c r="A119" i="29"/>
  <c r="A33" i="29"/>
  <c r="A106" i="29"/>
  <c r="A149" i="29"/>
  <c r="A62" i="29"/>
  <c r="A28" i="29"/>
  <c r="A38" i="29"/>
  <c r="A60" i="29"/>
  <c r="A103" i="29"/>
  <c r="A154" i="29"/>
  <c r="A37" i="29"/>
  <c r="A71" i="29"/>
  <c r="A102" i="29"/>
  <c r="A164" i="29"/>
  <c r="A36" i="29"/>
  <c r="A59" i="29"/>
  <c r="A77" i="29"/>
  <c r="A109" i="29"/>
  <c r="A101" i="29"/>
  <c r="A121" i="29"/>
  <c r="A152" i="29"/>
  <c r="A163" i="29"/>
  <c r="A105" i="29"/>
  <c r="A31" i="29"/>
  <c r="A30" i="29"/>
  <c r="A123" i="29"/>
  <c r="A165" i="29"/>
  <c r="A29" i="29"/>
  <c r="A110" i="29"/>
  <c r="A122" i="29"/>
  <c r="A153" i="29"/>
  <c r="A35" i="29"/>
  <c r="A65" i="29"/>
  <c r="A76" i="29"/>
  <c r="A108" i="29"/>
  <c r="A100" i="29"/>
  <c r="A120" i="29"/>
  <c r="A151" i="29"/>
  <c r="A162" i="29"/>
  <c r="F134" i="29" l="1"/>
  <c r="F135" i="29" s="1"/>
  <c r="F136" i="29" s="1"/>
  <c r="A55" i="1" l="1"/>
  <c r="A22" i="31" l="1"/>
  <c r="A21" i="31" s="1"/>
  <c r="A20" i="31" s="1"/>
  <c r="A19" i="31" s="1"/>
  <c r="A18" i="31" s="1"/>
  <c r="A17" i="31" s="1"/>
  <c r="A16" i="31" s="1"/>
  <c r="A15" i="31" s="1"/>
  <c r="A14" i="31" s="1"/>
  <c r="A13" i="31" s="1"/>
  <c r="A12" i="31" s="1"/>
  <c r="A11" i="31" s="1"/>
  <c r="I84" i="3" l="1"/>
  <c r="G84" i="3"/>
  <c r="A11" i="50"/>
  <c r="V9" i="50" s="1"/>
  <c r="V11" i="50"/>
  <c r="A12" i="50"/>
  <c r="V10" i="50" s="1"/>
  <c r="V12" i="50"/>
  <c r="A13" i="50"/>
  <c r="A14" i="50"/>
  <c r="D14" i="50"/>
  <c r="G14" i="50"/>
  <c r="J14" i="50"/>
  <c r="A15" i="50"/>
  <c r="V13" i="50" s="1"/>
  <c r="A16" i="50"/>
  <c r="V14" i="50" s="1"/>
  <c r="D16" i="50"/>
  <c r="G16" i="50"/>
  <c r="J16" i="50"/>
  <c r="A17" i="50"/>
  <c r="V15" i="50" s="1"/>
  <c r="V17" i="50"/>
  <c r="A18" i="50"/>
  <c r="V16" i="50" s="1"/>
  <c r="D18" i="50"/>
  <c r="G18" i="50"/>
  <c r="J18" i="50"/>
  <c r="A19" i="50"/>
  <c r="A20" i="50"/>
  <c r="A39" i="50" s="1"/>
  <c r="D20" i="50"/>
  <c r="G20" i="50"/>
  <c r="J20" i="50"/>
  <c r="A40" i="50"/>
  <c r="V9" i="49"/>
  <c r="V10" i="49"/>
  <c r="V11" i="49"/>
  <c r="V12" i="49"/>
  <c r="V13" i="49"/>
  <c r="D14" i="49"/>
  <c r="G14" i="49"/>
  <c r="J14" i="49"/>
  <c r="V14" i="49"/>
  <c r="V15" i="49"/>
  <c r="D16" i="49"/>
  <c r="G16" i="49"/>
  <c r="J16" i="49"/>
  <c r="V16" i="49"/>
  <c r="V17" i="49"/>
  <c r="D18" i="49"/>
  <c r="G18" i="49"/>
  <c r="J18" i="49"/>
  <c r="V18" i="49"/>
  <c r="D20" i="49"/>
  <c r="G20" i="49"/>
  <c r="J20" i="49"/>
  <c r="A39" i="49"/>
  <c r="A40" i="49"/>
  <c r="V18" i="50" l="1"/>
  <c r="F17" i="43" l="1"/>
  <c r="J17" i="43"/>
  <c r="Q12" i="46" l="1"/>
  <c r="G31" i="46"/>
  <c r="F31" i="46"/>
  <c r="F13" i="46"/>
  <c r="E13" i="46" s="1"/>
  <c r="D13" i="46" s="1"/>
  <c r="C13" i="46" s="1"/>
  <c r="C31" i="46" s="1"/>
  <c r="N12" i="46" l="1"/>
  <c r="M12" i="46"/>
  <c r="P12" i="46"/>
  <c r="E31" i="46"/>
  <c r="O12" i="46"/>
  <c r="D31" i="46"/>
  <c r="K13" i="3"/>
  <c r="K9" i="3" l="1"/>
  <c r="K10" i="3"/>
  <c r="K11" i="3"/>
  <c r="K12" i="3"/>
  <c r="K28" i="3" l="1"/>
  <c r="C15" i="13"/>
  <c r="I156" i="3" l="1"/>
  <c r="I115" i="3"/>
  <c r="G156" i="3"/>
  <c r="G155" i="3" s="1"/>
  <c r="G154" i="3" s="1"/>
  <c r="G153" i="3" s="1"/>
  <c r="G152" i="3" s="1"/>
  <c r="G115" i="3"/>
  <c r="G114" i="3" l="1"/>
  <c r="G113" i="3" s="1"/>
  <c r="A15" i="1"/>
  <c r="C21" i="3"/>
  <c r="C13" i="3"/>
  <c r="C12" i="3" s="1"/>
  <c r="C11" i="3" s="1"/>
  <c r="C10" i="3" s="1"/>
  <c r="C9" i="3" s="1"/>
  <c r="G112" i="3" l="1"/>
  <c r="G111" i="3" s="1"/>
  <c r="C20" i="3"/>
  <c r="A14" i="1"/>
  <c r="C19" i="3" l="1"/>
  <c r="C18" i="3" s="1"/>
  <c r="C17" i="3" s="1"/>
  <c r="A13" i="1"/>
  <c r="K21" i="3" l="1"/>
  <c r="C16" i="3"/>
  <c r="A12" i="1"/>
  <c r="K18" i="3" l="1"/>
  <c r="K17" i="3"/>
  <c r="M28" i="3" s="1"/>
  <c r="K15" i="3"/>
  <c r="K20" i="3"/>
  <c r="K16" i="3"/>
  <c r="K19" i="3"/>
  <c r="C15" i="3"/>
  <c r="A11" i="1"/>
  <c r="E69" i="1"/>
  <c r="E90" i="1"/>
  <c r="E79" i="1"/>
  <c r="E102" i="1"/>
  <c r="G102" i="1" s="1"/>
  <c r="E63" i="1"/>
  <c r="I100" i="3" l="1"/>
  <c r="I155" i="3"/>
  <c r="I154" i="3" s="1"/>
  <c r="I153" i="3" s="1"/>
  <c r="I152" i="3" s="1"/>
  <c r="I114" i="3"/>
  <c r="I113" i="3" s="1"/>
  <c r="I112" i="3" s="1"/>
  <c r="I111" i="3" s="1"/>
  <c r="I99" i="3"/>
  <c r="E78" i="1"/>
  <c r="E101" i="1"/>
  <c r="G101" i="1" s="1"/>
  <c r="E68" i="1"/>
  <c r="E89" i="1"/>
  <c r="E62" i="1"/>
  <c r="E103" i="1" l="1"/>
  <c r="G103" i="1" s="1"/>
  <c r="E70" i="1"/>
  <c r="D43" i="43" l="1"/>
  <c r="D42" i="43"/>
  <c r="E77" i="3" l="1"/>
  <c r="E78" i="3"/>
  <c r="E87" i="3"/>
  <c r="E88" i="3"/>
  <c r="E99" i="3"/>
  <c r="E100" i="3"/>
  <c r="C111" i="3"/>
  <c r="E111" i="3" s="1"/>
  <c r="C112" i="3"/>
  <c r="E112" i="3" s="1"/>
  <c r="E129" i="3"/>
  <c r="E130" i="3"/>
  <c r="E139" i="3"/>
  <c r="E140" i="3"/>
  <c r="E142" i="3"/>
  <c r="E143" i="3"/>
  <c r="C152" i="3"/>
  <c r="E152" i="3" s="1"/>
  <c r="C153" i="3"/>
  <c r="E153" i="3" s="1"/>
  <c r="E71" i="3"/>
  <c r="E72" i="3"/>
  <c r="E91" i="3" l="1"/>
  <c r="E79" i="3" l="1"/>
  <c r="A110" i="31" l="1"/>
  <c r="A109" i="31"/>
  <c r="A126" i="31" s="1"/>
  <c r="A108" i="31"/>
  <c r="A125" i="31" s="1"/>
  <c r="A107" i="31"/>
  <c r="A124" i="31" s="1"/>
  <c r="A106" i="31"/>
  <c r="A123" i="31" s="1"/>
  <c r="A105" i="31"/>
  <c r="A154" i="31" s="1"/>
  <c r="A166" i="31" s="1"/>
  <c r="A104" i="31"/>
  <c r="A121" i="31" s="1"/>
  <c r="A103" i="31"/>
  <c r="A152" i="31" s="1"/>
  <c r="A164" i="31" s="1"/>
  <c r="A102" i="31"/>
  <c r="A119" i="31" s="1"/>
  <c r="A101" i="31"/>
  <c r="A150" i="31" s="1"/>
  <c r="A162" i="31" s="1"/>
  <c r="A100" i="31"/>
  <c r="A117" i="31" s="1"/>
  <c r="A99" i="31"/>
  <c r="A116" i="31" s="1"/>
  <c r="A148" i="31" s="1"/>
  <c r="A160" i="31" s="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A38" i="31"/>
  <c r="A37" i="31"/>
  <c r="A36" i="31"/>
  <c r="A35" i="31"/>
  <c r="A34" i="31"/>
  <c r="A33" i="31"/>
  <c r="A32" i="31"/>
  <c r="A31" i="31"/>
  <c r="A30" i="31"/>
  <c r="A29" i="31"/>
  <c r="A28" i="31"/>
  <c r="A59" i="31" s="1"/>
  <c r="A71" i="31" s="1"/>
  <c r="A118" i="31" l="1"/>
  <c r="A153" i="31"/>
  <c r="A165" i="31" s="1"/>
  <c r="A149" i="31"/>
  <c r="A161" i="31" s="1"/>
  <c r="A120" i="31"/>
  <c r="A151" i="31"/>
  <c r="A163" i="31" s="1"/>
  <c r="A122" i="31"/>
  <c r="G100" i="3" l="1"/>
  <c r="G102" i="3"/>
  <c r="G99" i="3"/>
  <c r="G101" i="3"/>
  <c r="G103" i="3"/>
  <c r="I101" i="3"/>
  <c r="I103" i="3"/>
  <c r="I102" i="3"/>
  <c r="I89" i="1"/>
  <c r="G89" i="1"/>
  <c r="I96" i="3" l="1"/>
  <c r="G96" i="3"/>
  <c r="K86" i="1"/>
  <c r="I86" i="1"/>
  <c r="I78" i="3" l="1"/>
  <c r="I88" i="3" s="1"/>
  <c r="I77" i="3"/>
  <c r="I87" i="3" s="1"/>
  <c r="G80" i="3"/>
  <c r="G90" i="3" s="1"/>
  <c r="G81" i="3"/>
  <c r="G91" i="3" s="1"/>
  <c r="G78" i="3"/>
  <c r="G79" i="3"/>
  <c r="G89" i="3" s="1"/>
  <c r="G77" i="3"/>
  <c r="S19" i="46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G15" i="3" l="1"/>
  <c r="G17" i="3"/>
  <c r="G16" i="3"/>
  <c r="G18" i="3"/>
  <c r="E101" i="3"/>
  <c r="E104" i="1" l="1"/>
  <c r="E91" i="1"/>
  <c r="E92" i="1"/>
  <c r="E72" i="1"/>
  <c r="E80" i="1" l="1"/>
  <c r="C148" i="3" l="1"/>
  <c r="C107" i="3"/>
  <c r="B59" i="3"/>
  <c r="B58" i="3"/>
  <c r="B57" i="3"/>
  <c r="B56" i="3"/>
  <c r="B54" i="3"/>
  <c r="B52" i="3"/>
  <c r="C97" i="1"/>
  <c r="B49" i="1"/>
  <c r="B46" i="1"/>
  <c r="B44" i="1"/>
  <c r="J36" i="43" l="1"/>
  <c r="F36" i="43"/>
  <c r="J32" i="43"/>
  <c r="F32" i="43"/>
  <c r="J28" i="43"/>
  <c r="F28" i="43"/>
  <c r="J24" i="43"/>
  <c r="F24" i="43"/>
  <c r="J20" i="43"/>
  <c r="F20" i="43"/>
  <c r="V25" i="33"/>
  <c r="W25" i="33" s="1"/>
  <c r="X25" i="33" s="1"/>
  <c r="V24" i="33"/>
  <c r="W24" i="33" s="1"/>
  <c r="X24" i="33" s="1"/>
  <c r="V23" i="33"/>
  <c r="W23" i="33" s="1"/>
  <c r="V22" i="33"/>
  <c r="W22" i="33" s="1"/>
  <c r="V21" i="33"/>
  <c r="W21" i="33" s="1"/>
  <c r="V20" i="33"/>
  <c r="W20" i="33" s="1"/>
  <c r="V19" i="33"/>
  <c r="W19" i="33" s="1"/>
  <c r="V18" i="33"/>
  <c r="W18" i="33" s="1"/>
  <c r="V17" i="33"/>
  <c r="W17" i="33" s="1"/>
  <c r="V16" i="33"/>
  <c r="W16" i="33" s="1"/>
  <c r="V15" i="33"/>
  <c r="W15" i="33" s="1"/>
  <c r="V14" i="33"/>
  <c r="W14" i="33" s="1"/>
  <c r="X14" i="33" s="1"/>
  <c r="Y25" i="33"/>
  <c r="Y24" i="33"/>
  <c r="U15" i="33"/>
  <c r="U16" i="33" s="1"/>
  <c r="Y16" i="33" s="1"/>
  <c r="Y14" i="33"/>
  <c r="O25" i="33"/>
  <c r="P25" i="33" s="1"/>
  <c r="Q25" i="33" s="1"/>
  <c r="O24" i="33"/>
  <c r="P24" i="33" s="1"/>
  <c r="Q24" i="33" s="1"/>
  <c r="O23" i="33"/>
  <c r="P23" i="33" s="1"/>
  <c r="O22" i="33"/>
  <c r="P22" i="33" s="1"/>
  <c r="O21" i="33"/>
  <c r="P21" i="33" s="1"/>
  <c r="O20" i="33"/>
  <c r="P20" i="33" s="1"/>
  <c r="O19" i="33"/>
  <c r="P19" i="33" s="1"/>
  <c r="O18" i="33"/>
  <c r="P18" i="33" s="1"/>
  <c r="O17" i="33"/>
  <c r="P17" i="33" s="1"/>
  <c r="O16" i="33"/>
  <c r="P16" i="33" s="1"/>
  <c r="O15" i="33"/>
  <c r="P15" i="33" s="1"/>
  <c r="O14" i="33"/>
  <c r="P14" i="33" s="1"/>
  <c r="Q14" i="33" s="1"/>
  <c r="R25" i="33"/>
  <c r="R24" i="33"/>
  <c r="N15" i="33"/>
  <c r="N16" i="33" s="1"/>
  <c r="R16" i="33" s="1"/>
  <c r="R14" i="33"/>
  <c r="E64" i="1"/>
  <c r="I136" i="3"/>
  <c r="G136" i="3"/>
  <c r="K26" i="3" s="1"/>
  <c r="I105" i="1"/>
  <c r="I104" i="1" s="1"/>
  <c r="I103" i="1" s="1"/>
  <c r="I102" i="1" s="1"/>
  <c r="C156" i="3"/>
  <c r="E156" i="3" s="1"/>
  <c r="E66" i="1"/>
  <c r="D13" i="3"/>
  <c r="C155" i="3"/>
  <c r="E155" i="3" s="1"/>
  <c r="D21" i="3"/>
  <c r="E81" i="3"/>
  <c r="E132" i="3"/>
  <c r="D20" i="3"/>
  <c r="E74" i="3"/>
  <c r="E90" i="3"/>
  <c r="E103" i="3"/>
  <c r="E133" i="3"/>
  <c r="D12" i="3"/>
  <c r="E75" i="3"/>
  <c r="E80" i="3"/>
  <c r="E102" i="3"/>
  <c r="C114" i="3"/>
  <c r="E114" i="3" s="1"/>
  <c r="C115" i="3"/>
  <c r="E115" i="3" s="1"/>
  <c r="E93" i="1"/>
  <c r="E82" i="1"/>
  <c r="E105" i="1"/>
  <c r="G105" i="1" s="1"/>
  <c r="E65" i="1"/>
  <c r="E81" i="1"/>
  <c r="G104" i="1"/>
  <c r="E71" i="1"/>
  <c r="C154" i="3"/>
  <c r="E154" i="3" s="1"/>
  <c r="E141" i="3"/>
  <c r="C113" i="3"/>
  <c r="E113" i="3" s="1"/>
  <c r="E89" i="3"/>
  <c r="E73" i="3"/>
  <c r="E131" i="3"/>
  <c r="D19" i="3"/>
  <c r="D11" i="3"/>
  <c r="R15" i="33"/>
  <c r="M26" i="3" l="1"/>
  <c r="I140" i="3"/>
  <c r="I139" i="3"/>
  <c r="U17" i="33"/>
  <c r="Y17" i="33" s="1"/>
  <c r="Q15" i="33"/>
  <c r="I143" i="3"/>
  <c r="E21" i="3" s="1"/>
  <c r="C42" i="38" s="1"/>
  <c r="I80" i="3"/>
  <c r="I79" i="3"/>
  <c r="I142" i="3"/>
  <c r="I81" i="3"/>
  <c r="I91" i="3" s="1"/>
  <c r="G143" i="3"/>
  <c r="I101" i="1"/>
  <c r="X16" i="33"/>
  <c r="O26" i="33"/>
  <c r="O27" i="33" s="1"/>
  <c r="N17" i="33"/>
  <c r="W26" i="33"/>
  <c r="W27" i="33" s="1"/>
  <c r="Q16" i="33"/>
  <c r="P26" i="33"/>
  <c r="P27" i="33" s="1"/>
  <c r="X15" i="33"/>
  <c r="Y15" i="33"/>
  <c r="V26" i="33"/>
  <c r="V27" i="33" s="1"/>
  <c r="C45" i="38" l="1"/>
  <c r="B42" i="38"/>
  <c r="A40" i="38" s="1"/>
  <c r="E17" i="3"/>
  <c r="I17" i="3" s="1"/>
  <c r="E15" i="3"/>
  <c r="I15" i="3" s="1"/>
  <c r="E16" i="3"/>
  <c r="I16" i="3" s="1"/>
  <c r="E18" i="3"/>
  <c r="I18" i="3" s="1"/>
  <c r="X17" i="33"/>
  <c r="U18" i="33"/>
  <c r="G11" i="38"/>
  <c r="I89" i="3"/>
  <c r="I90" i="3"/>
  <c r="G88" i="3"/>
  <c r="G11" i="3"/>
  <c r="N18" i="33"/>
  <c r="R17" i="33"/>
  <c r="Q17" i="33"/>
  <c r="I141" i="3"/>
  <c r="E20" i="3"/>
  <c r="Y18" i="33"/>
  <c r="X18" i="33"/>
  <c r="U19" i="33"/>
  <c r="E13" i="3"/>
  <c r="C27" i="38" s="1"/>
  <c r="G12" i="3"/>
  <c r="B27" i="38" l="1"/>
  <c r="A25" i="38" s="1"/>
  <c r="C30" i="38"/>
  <c r="G14" i="38"/>
  <c r="G15" i="38"/>
  <c r="G142" i="3"/>
  <c r="E12" i="3" s="1"/>
  <c r="I12" i="3" s="1"/>
  <c r="E19" i="3"/>
  <c r="G19" i="3"/>
  <c r="G20" i="3"/>
  <c r="I20" i="3" s="1"/>
  <c r="G10" i="3"/>
  <c r="G13" i="3"/>
  <c r="I13" i="3" s="1"/>
  <c r="G21" i="3"/>
  <c r="I21" i="3" s="1"/>
  <c r="N19" i="33"/>
  <c r="R18" i="33"/>
  <c r="Q18" i="33"/>
  <c r="G141" i="3"/>
  <c r="Y19" i="33"/>
  <c r="X19" i="33"/>
  <c r="U20" i="33"/>
  <c r="G50" i="38" l="1"/>
  <c r="I19" i="3"/>
  <c r="M24" i="3" s="1"/>
  <c r="G87" i="3"/>
  <c r="G9" i="3" s="1"/>
  <c r="G140" i="3"/>
  <c r="E11" i="3"/>
  <c r="I11" i="3" s="1"/>
  <c r="G16" i="38"/>
  <c r="Q19" i="33"/>
  <c r="R19" i="33"/>
  <c r="N20" i="33"/>
  <c r="Y20" i="33"/>
  <c r="X20" i="33"/>
  <c r="U21" i="33"/>
  <c r="M30" i="3" l="1"/>
  <c r="M33" i="3" s="1"/>
  <c r="E10" i="3"/>
  <c r="I10" i="3" s="1"/>
  <c r="R20" i="33"/>
  <c r="Q20" i="33"/>
  <c r="N21" i="33"/>
  <c r="Y21" i="33"/>
  <c r="X21" i="33"/>
  <c r="U22" i="33"/>
  <c r="G139" i="3" l="1"/>
  <c r="E9" i="3" s="1"/>
  <c r="I9" i="3" s="1"/>
  <c r="K24" i="3" s="1"/>
  <c r="K30" i="3" s="1"/>
  <c r="N22" i="33"/>
  <c r="R21" i="33"/>
  <c r="Q21" i="33"/>
  <c r="Y22" i="33"/>
  <c r="X22" i="33"/>
  <c r="U23" i="33"/>
  <c r="K33" i="3" l="1"/>
  <c r="Q22" i="33"/>
  <c r="N23" i="33"/>
  <c r="N26" i="33" s="1"/>
  <c r="R22" i="33"/>
  <c r="Y23" i="33"/>
  <c r="Y26" i="33" s="1"/>
  <c r="Y27" i="33" s="1"/>
  <c r="X23" i="33"/>
  <c r="X26" i="33" s="1"/>
  <c r="X27" i="33" s="1"/>
  <c r="U26" i="33"/>
  <c r="R23" i="33" l="1"/>
  <c r="R26" i="33" s="1"/>
  <c r="R27" i="33" s="1"/>
  <c r="Q23" i="33"/>
  <c r="Q26" i="33" s="1"/>
  <c r="Q27" i="33" s="1"/>
  <c r="V29" i="33"/>
  <c r="V30" i="33" s="1"/>
  <c r="V32" i="33"/>
  <c r="V33" i="33" s="1"/>
  <c r="X37" i="33" s="1"/>
  <c r="K31" i="33" l="1"/>
  <c r="K38" i="33" s="1"/>
  <c r="I75" i="1" s="1"/>
  <c r="O32" i="33"/>
  <c r="O33" i="33" s="1"/>
  <c r="Q37" i="33" s="1"/>
  <c r="O29" i="33"/>
  <c r="O30" i="33" s="1"/>
  <c r="Z18" i="33"/>
  <c r="K18" i="33" s="1"/>
  <c r="Z24" i="33"/>
  <c r="K24" i="33" s="1"/>
  <c r="Z16" i="33"/>
  <c r="K16" i="33" s="1"/>
  <c r="Z21" i="33"/>
  <c r="K21" i="33" s="1"/>
  <c r="Z14" i="33"/>
  <c r="K14" i="33" s="1"/>
  <c r="Z23" i="33"/>
  <c r="K23" i="33" s="1"/>
  <c r="Z19" i="33"/>
  <c r="K19" i="33" s="1"/>
  <c r="Z25" i="33"/>
  <c r="K25" i="33" s="1"/>
  <c r="Z17" i="33"/>
  <c r="K17" i="33" s="1"/>
  <c r="Z20" i="33"/>
  <c r="K20" i="33" s="1"/>
  <c r="Z15" i="33"/>
  <c r="K15" i="33" s="1"/>
  <c r="Z22" i="33"/>
  <c r="K22" i="33" s="1"/>
  <c r="I31" i="33" l="1"/>
  <c r="I38" i="33" s="1"/>
  <c r="S20" i="33"/>
  <c r="G20" i="33" s="1"/>
  <c r="S15" i="33"/>
  <c r="G15" i="33" s="1"/>
  <c r="S22" i="33"/>
  <c r="G22" i="33" s="1"/>
  <c r="S25" i="33"/>
  <c r="G25" i="33" s="1"/>
  <c r="S16" i="33"/>
  <c r="G16" i="33" s="1"/>
  <c r="S19" i="33"/>
  <c r="G19" i="33" s="1"/>
  <c r="S17" i="33"/>
  <c r="G17" i="33" s="1"/>
  <c r="S14" i="33"/>
  <c r="G14" i="33" s="1"/>
  <c r="S21" i="33"/>
  <c r="G21" i="33" s="1"/>
  <c r="S18" i="33"/>
  <c r="G18" i="33" s="1"/>
  <c r="S24" i="33"/>
  <c r="G24" i="33" s="1"/>
  <c r="S23" i="33"/>
  <c r="G23" i="33" s="1"/>
  <c r="G75" i="1" l="1"/>
  <c r="I15" i="1" l="1"/>
  <c r="G49" i="38" l="1"/>
  <c r="I13" i="1"/>
  <c r="I72" i="1"/>
  <c r="I82" i="1" s="1"/>
  <c r="I12" i="1"/>
  <c r="I11" i="1"/>
  <c r="G72" i="1"/>
  <c r="I14" i="1"/>
  <c r="G18" i="38" l="1"/>
  <c r="G69" i="1"/>
  <c r="G79" i="1" s="1"/>
  <c r="I69" i="1"/>
  <c r="I79" i="1" s="1"/>
  <c r="G70" i="1"/>
  <c r="G80" i="1" s="1"/>
  <c r="I70" i="1"/>
  <c r="I80" i="1" s="1"/>
  <c r="I71" i="1"/>
  <c r="I81" i="1" s="1"/>
  <c r="G71" i="1"/>
  <c r="G81" i="1" s="1"/>
  <c r="G82" i="1"/>
  <c r="K82" i="1" s="1"/>
  <c r="E15" i="1" s="1"/>
  <c r="G15" i="1" s="1"/>
  <c r="K75" i="1"/>
  <c r="K19" i="1" s="1"/>
  <c r="G68" i="1"/>
  <c r="G78" i="1" s="1"/>
  <c r="C14" i="13"/>
  <c r="B48" i="1" s="1"/>
  <c r="I68" i="1"/>
  <c r="I78" i="1" s="1"/>
  <c r="K21" i="1"/>
  <c r="K80" i="1" l="1"/>
  <c r="E13" i="1" s="1"/>
  <c r="G13" i="1" s="1"/>
  <c r="K78" i="1"/>
  <c r="E11" i="1" s="1"/>
  <c r="G11" i="1" s="1"/>
  <c r="K79" i="1"/>
  <c r="E12" i="1" s="1"/>
  <c r="G12" i="1" s="1"/>
  <c r="K81" i="1"/>
  <c r="E14" i="1" s="1"/>
  <c r="G14" i="1" s="1"/>
  <c r="K17" i="1" l="1"/>
  <c r="K23" i="1" s="1"/>
  <c r="K26" i="1" s="1"/>
</calcChain>
</file>

<file path=xl/sharedStrings.xml><?xml version="1.0" encoding="utf-8"?>
<sst xmlns="http://schemas.openxmlformats.org/spreadsheetml/2006/main" count="1021" uniqueCount="510">
  <si>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</si>
  <si>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</si>
  <si>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</si>
  <si>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</si>
  <si>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</si>
  <si>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</si>
  <si>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</si>
  <si>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</si>
  <si>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</si>
  <si>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</si>
  <si>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</si>
  <si>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</si>
  <si>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</si>
  <si>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</si>
  <si>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</si>
  <si>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</si>
  <si>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</si>
  <si>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</si>
  <si>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</si>
  <si>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</si>
  <si>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</si>
  <si>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</si>
  <si>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</si>
  <si>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</si>
  <si>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</si>
  <si>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</si>
  <si>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</si>
  <si>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</si>
  <si>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</si>
  <si>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</si>
  <si>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</si>
  <si>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</si>
  <si>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</si>
  <si>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</si>
  <si>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</si>
  <si>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</si>
  <si>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</si>
  <si>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</si>
  <si>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</si>
  <si>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</si>
  <si>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</si>
  <si>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</si>
  <si>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</si>
  <si>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</si>
  <si>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</si>
  <si>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</si>
  <si>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</si>
  <si>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</si>
  <si>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</si>
  <si>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</si>
  <si>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</si>
  <si>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</si>
  <si>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</si>
  <si>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</si>
  <si>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</si>
  <si>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</si>
  <si>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</si>
  <si>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</si>
  <si>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</si>
  <si>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</si>
  <si>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</si>
  <si>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</si>
  <si>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</si>
  <si>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</si>
  <si>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</si>
  <si>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</si>
  <si>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</si>
  <si>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</si>
  <si>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</si>
  <si>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</si>
  <si>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</si>
  <si>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</si>
  <si>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</si>
  <si>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</si>
  <si>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</si>
  <si>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</si>
  <si>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</si>
  <si>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</si>
  <si>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SINGLE LIMIT LIABILITY COVERAGE</t>
  </si>
  <si>
    <t>TRUCKS, TRACTORS AND TRAILERS</t>
  </si>
  <si>
    <t>AUTOMOBILE LIABILITY INSURANCE</t>
  </si>
  <si>
    <t>DETERMINATION OF  SINGLE  LIMIT LOSSES</t>
  </si>
  <si>
    <t>AUTOMOBILE PHYSICAL DAMAGE INSURANCE</t>
  </si>
  <si>
    <t>INCURRED LOSSES  (C)</t>
  </si>
  <si>
    <t>TRENDED AGGREGATE</t>
  </si>
  <si>
    <t>LOSS COSTS AT</t>
  </si>
  <si>
    <t>CURRENT LEVEL (A)</t>
  </si>
  <si>
    <t>DETERMINATION OF PHYSICAL DAMAGE TRENDED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</si>
  <si>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</si>
  <si>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</si>
  <si>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</si>
  <si>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</si>
  <si>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</si>
  <si>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</si>
  <si>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</si>
  <si>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</si>
  <si>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</si>
  <si>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</si>
  <si>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</si>
  <si>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</si>
  <si>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</si>
  <si>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</si>
  <si>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</si>
  <si>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</si>
  <si>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</si>
  <si>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</si>
  <si>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</si>
  <si>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</si>
  <si>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</si>
  <si>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</si>
  <si>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</si>
  <si>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</si>
  <si>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</si>
  <si>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</si>
  <si>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</si>
  <si>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</si>
  <si>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</si>
  <si>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</si>
  <si>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</si>
  <si>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EXPOSURES BY THE CURRENT LOSS COSTS FROM THE LAST REVISION.</t>
  </si>
  <si>
    <t>AND PROPERTY DAMAGE LIABILITY. SEE FOLLOWING PAGE.</t>
  </si>
  <si>
    <t>WHICH IS ASSUMED FOR THE PURPOSE OF TRENDING.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</si>
  <si>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</si>
  <si>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</si>
  <si>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</si>
  <si>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</si>
  <si>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</si>
  <si>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</si>
  <si>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</si>
  <si>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</si>
  <si>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</si>
  <si>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</si>
  <si>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Contains some inputs used in calculations throughout the workbook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</si>
  <si>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</si>
  <si>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</si>
  <si>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</si>
  <si>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</si>
  <si>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</si>
  <si>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</si>
  <si>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</si>
  <si>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</si>
  <si>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</si>
  <si>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</si>
  <si>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</si>
  <si>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</si>
  <si>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</si>
  <si>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</si>
  <si>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</si>
  <si>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</si>
  <si>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</si>
  <si>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</si>
  <si>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</si>
  <si>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</si>
  <si>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</si>
  <si>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</si>
  <si>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</si>
  <si>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</si>
  <si>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</si>
  <si>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</si>
  <si>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</si>
  <si>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</si>
  <si>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</si>
  <si>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</si>
  <si>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</si>
  <si>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</si>
  <si>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</si>
  <si>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</si>
  <si>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</si>
  <si>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</si>
  <si>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</si>
  <si>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Incurred Losses and Expenses</t>
  </si>
  <si>
    <t>Bodily Injury</t>
  </si>
  <si>
    <t>Accident</t>
  </si>
  <si>
    <t>Year</t>
  </si>
  <si>
    <t>$100,000 Basic Limit</t>
  </si>
  <si>
    <t>Ending</t>
  </si>
  <si>
    <t>15 Months</t>
  </si>
  <si>
    <t>27 Months</t>
  </si>
  <si>
    <t>39 Months</t>
  </si>
  <si>
    <t>Property Damage</t>
  </si>
  <si>
    <t>Summary of Factors</t>
  </si>
  <si>
    <t>Basic Limits Loss Development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</si>
  <si>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</si>
  <si>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</si>
  <si>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</si>
  <si>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</si>
  <si>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</si>
  <si>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</si>
  <si>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</si>
  <si>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</si>
  <si>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</si>
  <si>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</si>
  <si>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</si>
  <si>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</si>
  <si>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</si>
  <si>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</si>
  <si>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</si>
  <si>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</si>
  <si>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</si>
  <si>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</si>
  <si>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</si>
  <si>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</si>
  <si>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</si>
  <si>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</si>
  <si>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</si>
  <si>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</si>
  <si>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</si>
  <si>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</si>
  <si>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</si>
  <si>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</si>
  <si>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</si>
  <si>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</si>
  <si>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</si>
  <si>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</si>
  <si>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</si>
  <si>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</si>
  <si>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</si>
  <si>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</si>
  <si>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</si>
  <si>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</si>
  <si>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</si>
  <si>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 xml:space="preserve">Multistate </t>
  </si>
  <si>
    <t>(111:99)(111:Ult) =</t>
  </si>
  <si>
    <t>(99:87)(111:99)(111:Ult) =</t>
  </si>
  <si>
    <t>(87:75)(99:87)(111:99)(111:Ult) =</t>
  </si>
  <si>
    <t>Physical Damage Loss Development</t>
  </si>
  <si>
    <t>Paid Losses</t>
  </si>
  <si>
    <t>COMMERCIAL AUTO LIABILITY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</si>
  <si>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</si>
  <si>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</si>
  <si>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</si>
  <si>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</si>
  <si>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</si>
  <si>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</si>
  <si>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</si>
  <si>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* EXLUDES MASSACHUSETTS</t>
  </si>
  <si>
    <t>Liability Loss Trend</t>
  </si>
  <si>
    <t>TRUCKS, TRACTORS, AND TRAILERS</t>
  </si>
  <si>
    <t>Latest Year</t>
  </si>
  <si>
    <t>EXPONENTIAL FIT</t>
  </si>
  <si>
    <t xml:space="preserve">            </t>
  </si>
  <si>
    <t>EXPECTED EXPERIENCE RATIO IS EQUAL TO THE LOSS TREND FACTOR DIVIDED BY THE OCN</t>
  </si>
  <si>
    <t>Number of</t>
  </si>
  <si>
    <t>years in</t>
  </si>
  <si>
    <t>review</t>
  </si>
  <si>
    <t>credibility</t>
  </si>
  <si>
    <t>standard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</si>
  <si>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</si>
  <si>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</si>
  <si>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</si>
  <si>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</si>
  <si>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</si>
  <si>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</si>
  <si>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</si>
  <si>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</si>
  <si>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</si>
  <si>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</si>
  <si>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</si>
  <si>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</si>
  <si>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</si>
  <si>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Data excludes the following state: Massachusetts</t>
  </si>
  <si>
    <t>7 POINTS</t>
  </si>
  <si>
    <t>Liability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</si>
  <si>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</si>
  <si>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</si>
  <si>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</si>
  <si>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</si>
  <si>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</si>
  <si>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</si>
  <si>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</si>
  <si>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</si>
  <si>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</si>
  <si>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</si>
  <si>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</si>
  <si>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</si>
  <si>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</si>
  <si>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</si>
  <si>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</si>
  <si>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Liability Incurred Claim Frequency Experience</t>
  </si>
  <si>
    <t>Liability Incurred Claim Frequency Experience Graphs</t>
  </si>
  <si>
    <t>Liability Average Paid Claim Cost Experience Graphs</t>
  </si>
  <si>
    <t>EXHIBIT A1</t>
  </si>
  <si>
    <t>EXHIBIT A2</t>
  </si>
  <si>
    <t>EXHIBIT B1</t>
  </si>
  <si>
    <t>EXHIBIT B2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</si>
  <si>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</si>
  <si>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</si>
  <si>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</si>
  <si>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</si>
  <si>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</si>
  <si>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</si>
  <si>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</si>
  <si>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</si>
  <si>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</si>
  <si>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</si>
  <si>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Commercial Automobile</t>
  </si>
  <si>
    <t>Selected Collision Frequency Trend Factor: 0.0%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</si>
  <si>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</si>
  <si>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</si>
  <si>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</si>
  <si>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</si>
  <si>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</si>
  <si>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</si>
  <si>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</si>
  <si>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</si>
  <si>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</si>
  <si>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</si>
  <si>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</si>
  <si>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</si>
  <si>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</si>
  <si>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</si>
  <si>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</si>
  <si>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</si>
  <si>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</si>
  <si>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</si>
  <si>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</si>
  <si>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</si>
  <si>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</si>
  <si>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</si>
  <si>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</si>
  <si>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</si>
  <si>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</si>
  <si>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</si>
  <si>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</si>
  <si>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</si>
  <si>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</si>
  <si>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</si>
  <si>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Liability and Physical Damage Loss Adjustment Expense Experience</t>
  </si>
  <si>
    <t>Latest accident year:</t>
  </si>
  <si>
    <t>Intermediate</t>
  </si>
  <si>
    <t>Other than Collision</t>
  </si>
  <si>
    <t>Calculation of Off-balance Factors</t>
  </si>
  <si>
    <t>Summary of Primary, Fleet, and Metro Factor Revisions</t>
  </si>
  <si>
    <t>EXHIBIT A3</t>
  </si>
  <si>
    <t>Summary of Zone Combination Factor Revisions</t>
  </si>
  <si>
    <t>Zone-Rated Liability Multistate Advisory Loss Cost Level Changes</t>
  </si>
  <si>
    <t>Zone-Rated Physical Damage Multistate Advisory Loss Cost Level Changes</t>
  </si>
  <si>
    <t>M Period:</t>
  </si>
  <si>
    <t>Zone-Rated liability</t>
  </si>
  <si>
    <t>Zone-Rated OTC</t>
  </si>
  <si>
    <t>Zone-Rated Collision</t>
  </si>
  <si>
    <t>AUTOMOBILE LIABILITY INSURANCE - ZONE-RATED RISKS (A)</t>
  </si>
  <si>
    <t>ZONE-RATED RISKS</t>
  </si>
  <si>
    <t>Zone-Rated - Bodily Injury</t>
  </si>
  <si>
    <t>Multistate</t>
  </si>
  <si>
    <t>Zone-Rated - Property Damage</t>
  </si>
  <si>
    <t>Zone-Rated - Other than Collision</t>
  </si>
  <si>
    <t>Zone-Rated - Collision</t>
  </si>
  <si>
    <t>AUTOMOBILE PHYSICAL DAMAGE INSURANCE - ZONE-RATED RISKS (A)</t>
  </si>
  <si>
    <t>ZONE-RATED EXPERIENCE IS FOR VEHICLES WRITTEN IN ACCORDANCE WITH</t>
  </si>
  <si>
    <t>RULE 25 OF THE COMMERCIAL LINES MANUAL, DIVISION 1, AUTOMOBILE.</t>
  </si>
  <si>
    <t>OTC Loss Trend</t>
  </si>
  <si>
    <t>Collision Loss Trend</t>
  </si>
  <si>
    <t>OCN Trend</t>
  </si>
  <si>
    <t>Liability Loss Development Factors</t>
  </si>
  <si>
    <t>Physical Damage Loss Development Factors</t>
  </si>
  <si>
    <t>CALCULATION OF OFF-BALANCE FACTORS</t>
  </si>
  <si>
    <t>LIABILITY</t>
  </si>
  <si>
    <t>The base loss cost for Liability is for a $100,000 Combined Single Limit. The off-balance</t>
  </si>
  <si>
    <t>where</t>
  </si>
  <si>
    <t>=</t>
  </si>
  <si>
    <t>Aggregate Loss Cost at Current</t>
  </si>
  <si>
    <t>Level under the current class plan.</t>
  </si>
  <si>
    <t>Level under the revised class plan.</t>
  </si>
  <si>
    <t xml:space="preserve">The base loss cost for Other Than Collision is for a $15,001-20,000 OCN for Ages 1, 2 and 3 </t>
  </si>
  <si>
    <t>with a $500 deductible. The off-balance factor to be applied to the current Zone-Rated OTC</t>
  </si>
  <si>
    <t xml:space="preserve">The base loss cost for Collision is for a $15,001-20,000 OCN for Ages 1, 2 and 3 with a $500 </t>
  </si>
  <si>
    <t>deductible. The off-balance factor to be applied to the current Zone-Rated Collision base</t>
  </si>
  <si>
    <t>PRIMARY FACTORS</t>
  </si>
  <si>
    <t>Class</t>
  </si>
  <si>
    <t>Medium</t>
  </si>
  <si>
    <t>Heavy</t>
  </si>
  <si>
    <t>Extra-Heavy</t>
  </si>
  <si>
    <t>Trailers</t>
  </si>
  <si>
    <t>Current</t>
  </si>
  <si>
    <t>Revised</t>
  </si>
  <si>
    <t>FLEET DISCOUNT FACTORS</t>
  </si>
  <si>
    <t>Fleet</t>
  </si>
  <si>
    <t>Non-Fleet</t>
  </si>
  <si>
    <t>METRO FACTORS</t>
  </si>
  <si>
    <t>Metro-Metro</t>
  </si>
  <si>
    <t>Metro to/from Non-Metro</t>
  </si>
  <si>
    <t>Non-Metro to Non-Metro</t>
  </si>
  <si>
    <t>ZONE COMBINATION FACTORS</t>
  </si>
  <si>
    <t>Route</t>
  </si>
  <si>
    <t>Region #</t>
  </si>
  <si>
    <t>01</t>
  </si>
  <si>
    <t>02</t>
  </si>
  <si>
    <t>40 to/from 40</t>
  </si>
  <si>
    <t>40 to/from 41</t>
  </si>
  <si>
    <t>03</t>
  </si>
  <si>
    <t>40 to/from 42</t>
  </si>
  <si>
    <t>04</t>
  </si>
  <si>
    <t>40 to/from 43</t>
  </si>
  <si>
    <t>05</t>
  </si>
  <si>
    <t>40 to/from 44</t>
  </si>
  <si>
    <t>06</t>
  </si>
  <si>
    <t>40 to/from 45</t>
  </si>
  <si>
    <t>07</t>
  </si>
  <si>
    <t>40 to/from 46</t>
  </si>
  <si>
    <t>08</t>
  </si>
  <si>
    <t>40 to/from 47</t>
  </si>
  <si>
    <t>09</t>
  </si>
  <si>
    <t>40 to/from 48</t>
  </si>
  <si>
    <t>10</t>
  </si>
  <si>
    <t>40 to/from 49</t>
  </si>
  <si>
    <t>11</t>
  </si>
  <si>
    <t>41 to/from 41</t>
  </si>
  <si>
    <t>12</t>
  </si>
  <si>
    <t>41 to/from 42</t>
  </si>
  <si>
    <t>13</t>
  </si>
  <si>
    <t>41 to/from 43</t>
  </si>
  <si>
    <t>14</t>
  </si>
  <si>
    <t>41 to/from 44</t>
  </si>
  <si>
    <t>15</t>
  </si>
  <si>
    <t>41 to/from 45</t>
  </si>
  <si>
    <t>16</t>
  </si>
  <si>
    <t>41 to/from 46</t>
  </si>
  <si>
    <t>17</t>
  </si>
  <si>
    <t>41 to/from 47</t>
  </si>
  <si>
    <t>18</t>
  </si>
  <si>
    <t>41 to/from 48</t>
  </si>
  <si>
    <t>19</t>
  </si>
  <si>
    <t>41 to/from 49</t>
  </si>
  <si>
    <t>20</t>
  </si>
  <si>
    <t>42 to/from 42</t>
  </si>
  <si>
    <t>21</t>
  </si>
  <si>
    <t>42 to/from 43</t>
  </si>
  <si>
    <t>22</t>
  </si>
  <si>
    <t>42 to/from 44</t>
  </si>
  <si>
    <t>23</t>
  </si>
  <si>
    <t>42 to/from 45</t>
  </si>
  <si>
    <t>24</t>
  </si>
  <si>
    <t>42 to/from 46</t>
  </si>
  <si>
    <t>25</t>
  </si>
  <si>
    <t>42 to/from 47</t>
  </si>
  <si>
    <t>26</t>
  </si>
  <si>
    <t>42 to/from 48</t>
  </si>
  <si>
    <t>27</t>
  </si>
  <si>
    <t>42 to/from 49</t>
  </si>
  <si>
    <t>28</t>
  </si>
  <si>
    <t>43 to/from 43</t>
  </si>
  <si>
    <t>29</t>
  </si>
  <si>
    <t>43 to/from 44</t>
  </si>
  <si>
    <t>30</t>
  </si>
  <si>
    <t>43 to/from 45</t>
  </si>
  <si>
    <t>31</t>
  </si>
  <si>
    <t>43 to/from 46</t>
  </si>
  <si>
    <t>32</t>
  </si>
  <si>
    <t>43 to/from 47</t>
  </si>
  <si>
    <t>33</t>
  </si>
  <si>
    <t>43 to/from 48</t>
  </si>
  <si>
    <t>34</t>
  </si>
  <si>
    <t>43 to/from 49</t>
  </si>
  <si>
    <t>35</t>
  </si>
  <si>
    <t>44 to/from 44</t>
  </si>
  <si>
    <t>36</t>
  </si>
  <si>
    <t>44 to/from 45</t>
  </si>
  <si>
    <t>37</t>
  </si>
  <si>
    <t>44 to/from 46</t>
  </si>
  <si>
    <t>38</t>
  </si>
  <si>
    <t>44 to/from 47</t>
  </si>
  <si>
    <t>39</t>
  </si>
  <si>
    <t>44 to/from 48</t>
  </si>
  <si>
    <t>40</t>
  </si>
  <si>
    <t>44 to/from 49</t>
  </si>
  <si>
    <t>41</t>
  </si>
  <si>
    <t>45 to/from 45</t>
  </si>
  <si>
    <t>42</t>
  </si>
  <si>
    <t>45 to/from 46</t>
  </si>
  <si>
    <t>43</t>
  </si>
  <si>
    <t>45 to/from 47</t>
  </si>
  <si>
    <t>44</t>
  </si>
  <si>
    <t>45 to/from 48</t>
  </si>
  <si>
    <t>45</t>
  </si>
  <si>
    <t>45 to/from 49</t>
  </si>
  <si>
    <t>46</t>
  </si>
  <si>
    <t>46 to/from 46</t>
  </si>
  <si>
    <t>47</t>
  </si>
  <si>
    <t>46 to/from 47</t>
  </si>
  <si>
    <t>48</t>
  </si>
  <si>
    <t>46 to/from 48</t>
  </si>
  <si>
    <t>49</t>
  </si>
  <si>
    <t>46 to/from 49</t>
  </si>
  <si>
    <t>50</t>
  </si>
  <si>
    <t>47 to/from 47</t>
  </si>
  <si>
    <t>51</t>
  </si>
  <si>
    <t>47 to/from 48</t>
  </si>
  <si>
    <t>52</t>
  </si>
  <si>
    <t>47 to/from 49</t>
  </si>
  <si>
    <t>53</t>
  </si>
  <si>
    <t>48 to/from 48</t>
  </si>
  <si>
    <t>54</t>
  </si>
  <si>
    <t>48 to/from 49</t>
  </si>
  <si>
    <t>55</t>
  </si>
  <si>
    <t>49 to/from 49</t>
  </si>
  <si>
    <t>56</t>
  </si>
  <si>
    <t>50 to/from 50</t>
  </si>
  <si>
    <t>DETERMINATION OF ADVISORY LOSS COST LEVEL CHANGES</t>
  </si>
  <si>
    <t>(5) AVERAGE ANNUAL PERCENT CHANGE IN PAID</t>
  </si>
  <si>
    <t xml:space="preserve">    CLAIM COST (12TH POINT / 8TH POINT)</t>
  </si>
  <si>
    <t>(6) SELECTED ANNUAL PERCENT CHANGE IN</t>
  </si>
  <si>
    <t xml:space="preserve">    CLAIM FREQUENCY</t>
  </si>
  <si>
    <t>(7) AVERAGE ANNUAL PERCENT CHANGE IN LIABILITY</t>
  </si>
  <si>
    <t xml:space="preserve">    LOSS RATIO</t>
  </si>
  <si>
    <t xml:space="preserve">BODILY </t>
  </si>
  <si>
    <t>INJURY</t>
  </si>
  <si>
    <t>PROPERTY</t>
  </si>
  <si>
    <t>DAMAGE</t>
  </si>
  <si>
    <t>SUMMARY OF CLASSIFICATION PLAN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</si>
</sst>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General_)"/>
    <numFmt numFmtId="170" formatCode="&quot;$&quot;#,##0"/>
    <numFmt numFmtId="171" formatCode="0.0000"/>
    <numFmt numFmtId="172" formatCode="_(&quot;$&quot;* #,##0_);_(&quot;$&quot;* \(#,##0\);_(&quot;$&quot;* &quot;-&quot;??_);_(@_)"/>
    <numFmt numFmtId="173" formatCode="#,##0.000"/>
  </numFmts>
  <fonts count="39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69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6" fillId="0" borderId="0" xfId="0" applyFont="1"/>
    <xf numFmtId="0" fontId="26" fillId="0" borderId="0" xfId="0" applyFont="1" applyFill="1" applyAlignment="1">
      <alignment horizontal="center"/>
    </xf>
    <xf numFmtId="0" fontId="27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69" fontId="11" fillId="0" borderId="0" xfId="8" applyFont="1" applyFill="1" applyAlignment="1">
      <alignment horizontal="left"/>
    </xf>
    <xf numFmtId="169" fontId="11" fillId="0" borderId="0" xfId="8" applyFont="1" applyFill="1"/>
    <xf numFmtId="169" fontId="11" fillId="0" borderId="0" xfId="8" quotePrefix="1" applyFont="1" applyFill="1" applyAlignment="1">
      <alignment horizontal="left"/>
    </xf>
    <xf numFmtId="169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28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165" fontId="29" fillId="0" borderId="0" xfId="1" applyNumberFormat="1" applyFont="1"/>
    <xf numFmtId="0" fontId="20" fillId="0" borderId="0" xfId="0" applyFont="1" applyAlignment="1"/>
    <xf numFmtId="168" fontId="29" fillId="0" borderId="0" xfId="0" applyNumberFormat="1" applyFont="1" applyAlignment="1">
      <alignment horizontal="right"/>
    </xf>
    <xf numFmtId="1" fontId="29" fillId="0" borderId="0" xfId="0" applyNumberFormat="1" applyFont="1"/>
    <xf numFmtId="0" fontId="30" fillId="0" borderId="0" xfId="0" applyFont="1"/>
    <xf numFmtId="2" fontId="30" fillId="0" borderId="0" xfId="0" applyNumberFormat="1" applyFont="1"/>
    <xf numFmtId="0" fontId="28" fillId="0" borderId="0" xfId="0" applyFont="1"/>
    <xf numFmtId="14" fontId="28" fillId="0" borderId="0" xfId="0" applyNumberFormat="1" applyFont="1"/>
    <xf numFmtId="43" fontId="28" fillId="0" borderId="0" xfId="0" applyNumberFormat="1" applyFont="1"/>
    <xf numFmtId="168" fontId="28" fillId="0" borderId="0" xfId="9" applyNumberFormat="1" applyFont="1"/>
    <xf numFmtId="168" fontId="28" fillId="0" borderId="0" xfId="9" applyNumberFormat="1" applyFont="1" applyAlignment="1">
      <alignment horizontal="center"/>
    </xf>
    <xf numFmtId="6" fontId="28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28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69" fontId="1" fillId="0" borderId="0" xfId="4" applyNumberFormat="1" applyFont="1" applyFill="1" applyBorder="1"/>
    <xf numFmtId="169" fontId="1" fillId="0" borderId="0" xfId="4" applyNumberFormat="1" applyFont="1"/>
    <xf numFmtId="169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69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applyFont="1" applyFill="1" applyBorder="1" applyAlignment="1">
      <alignment horizontal="right"/>
    </xf>
    <xf numFmtId="168" fontId="1" fillId="0" borderId="0" xfId="9" applyNumberFormat="1" applyFont="1"/>
    <xf numFmtId="170" fontId="29" fillId="0" borderId="0" xfId="1" applyNumberFormat="1" applyFont="1"/>
    <xf numFmtId="170" fontId="20" fillId="0" borderId="0" xfId="1" applyNumberFormat="1" applyFont="1"/>
    <xf numFmtId="170" fontId="29" fillId="0" borderId="0" xfId="0" applyNumberFormat="1" applyFont="1"/>
    <xf numFmtId="170" fontId="20" fillId="0" borderId="0" xfId="0" applyNumberFormat="1" applyFont="1"/>
    <xf numFmtId="3" fontId="29" fillId="0" borderId="0" xfId="0" applyNumberFormat="1" applyFont="1"/>
    <xf numFmtId="166" fontId="30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0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2" fontId="31" fillId="0" borderId="0" xfId="0" applyNumberFormat="1" applyFont="1" applyBorder="1"/>
    <xf numFmtId="168" fontId="16" fillId="0" borderId="0" xfId="9" applyNumberFormat="1" applyFont="1"/>
    <xf numFmtId="43" fontId="0" fillId="0" borderId="0" xfId="0" applyNumberFormat="1"/>
    <xf numFmtId="0" fontId="32" fillId="0" borderId="0" xfId="0" applyFont="1"/>
    <xf numFmtId="166" fontId="28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left" indent="3"/>
    </xf>
    <xf numFmtId="0" fontId="28" fillId="0" borderId="0" xfId="0" applyFont="1" applyAlignment="1">
      <alignment horizontal="left" indent="6"/>
    </xf>
    <xf numFmtId="165" fontId="33" fillId="0" borderId="0" xfId="1" applyNumberFormat="1" applyFont="1"/>
    <xf numFmtId="165" fontId="11" fillId="0" borderId="0" xfId="1" applyNumberFormat="1" applyFont="1"/>
    <xf numFmtId="168" fontId="33" fillId="0" borderId="0" xfId="0" applyNumberFormat="1" applyFont="1"/>
    <xf numFmtId="168" fontId="28" fillId="0" borderId="0" xfId="0" applyNumberFormat="1" applyFont="1" applyAlignment="1">
      <alignment horizontal="right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/>
    </xf>
    <xf numFmtId="168" fontId="33" fillId="0" borderId="0" xfId="9" applyNumberFormat="1" applyFont="1" applyAlignment="1">
      <alignment horizontal="center"/>
    </xf>
    <xf numFmtId="0" fontId="0" fillId="0" borderId="0" xfId="0" applyFill="1"/>
    <xf numFmtId="0" fontId="11" fillId="0" borderId="0" xfId="7" applyFont="1"/>
    <xf numFmtId="0" fontId="28" fillId="0" borderId="0" xfId="7" applyFont="1"/>
    <xf numFmtId="0" fontId="34" fillId="0" borderId="0" xfId="7" applyFont="1" applyAlignment="1"/>
    <xf numFmtId="0" fontId="1" fillId="0" borderId="0" xfId="7" applyFont="1"/>
    <xf numFmtId="0" fontId="20" fillId="0" borderId="0" xfId="7" applyFont="1"/>
    <xf numFmtId="0" fontId="35" fillId="0" borderId="0" xfId="7" applyFont="1"/>
    <xf numFmtId="14" fontId="20" fillId="0" borderId="0" xfId="7" applyNumberFormat="1" applyFont="1"/>
    <xf numFmtId="171" fontId="29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28" fillId="0" borderId="0" xfId="0" applyFont="1" applyFill="1" applyAlignment="1">
      <alignment vertical="top"/>
    </xf>
    <xf numFmtId="43" fontId="33" fillId="0" borderId="0" xfId="0" applyNumberFormat="1" applyFont="1"/>
    <xf numFmtId="43" fontId="33" fillId="0" borderId="0" xfId="1" applyFont="1"/>
    <xf numFmtId="168" fontId="33" fillId="0" borderId="0" xfId="9" applyNumberFormat="1" applyFont="1"/>
    <xf numFmtId="0" fontId="20" fillId="0" borderId="0" xfId="0" applyFont="1" applyAlignment="1"/>
    <xf numFmtId="0" fontId="28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3" fontId="33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3" fillId="0" borderId="0" xfId="0" applyNumberFormat="1" applyFont="1" applyAlignment="1">
      <alignment horizontal="right" vertical="center" wrapText="1"/>
    </xf>
    <xf numFmtId="0" fontId="36" fillId="0" borderId="0" xfId="0" applyFont="1" applyAlignment="1"/>
    <xf numFmtId="173" fontId="11" fillId="0" borderId="0" xfId="0" applyNumberFormat="1" applyFont="1" applyAlignment="1">
      <alignment horizontal="center" vertical="center" wrapText="1"/>
    </xf>
    <xf numFmtId="173" fontId="28" fillId="0" borderId="0" xfId="0" applyNumberFormat="1" applyFont="1"/>
    <xf numFmtId="173" fontId="33" fillId="0" borderId="0" xfId="0" applyNumberFormat="1" applyFont="1" applyAlignment="1">
      <alignment horizontal="center" vertical="center" wrapText="1"/>
    </xf>
    <xf numFmtId="170" fontId="29" fillId="0" borderId="0" xfId="1" applyNumberFormat="1" applyFont="1" applyAlignment="1">
      <alignment horizontal="right"/>
    </xf>
    <xf numFmtId="170" fontId="29" fillId="0" borderId="0" xfId="1" applyNumberFormat="1" applyFont="1" applyBorder="1" applyAlignment="1">
      <alignment horizontal="right"/>
    </xf>
    <xf numFmtId="14" fontId="30" fillId="0" borderId="0" xfId="0" applyNumberFormat="1" applyFont="1"/>
    <xf numFmtId="0" fontId="30" fillId="0" borderId="0" xfId="0" applyNumberFormat="1" applyFont="1"/>
    <xf numFmtId="164" fontId="1" fillId="0" borderId="0" xfId="0" quotePrefix="1" applyNumberFormat="1" applyFont="1" applyAlignment="1">
      <alignment horizontal="left"/>
    </xf>
    <xf numFmtId="170" fontId="29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43" fontId="1" fillId="0" borderId="0" xfId="1" applyNumberFormat="1" applyFont="1" applyAlignment="1">
      <alignment horizontal="right"/>
    </xf>
    <xf numFmtId="43" fontId="1" fillId="0" borderId="0" xfId="0" applyNumberFormat="1" applyFont="1"/>
    <xf numFmtId="0" fontId="28" fillId="0" borderId="0" xfId="0" applyFont="1" applyAlignment="1">
      <alignment horizontal="center"/>
    </xf>
    <xf numFmtId="0" fontId="0" fillId="0" borderId="0" xfId="0"/>
    <xf numFmtId="168" fontId="33" fillId="0" borderId="0" xfId="0" applyNumberFormat="1" applyFont="1" applyAlignment="1">
      <alignment horizontal="center" wrapText="1"/>
    </xf>
    <xf numFmtId="164" fontId="1" fillId="0" borderId="0" xfId="0" quotePrefix="1" applyNumberFormat="1" applyFont="1" applyAlignment="1">
      <alignment horizontal="center"/>
    </xf>
    <xf numFmtId="0" fontId="4" fillId="0" borderId="0" xfId="0" applyFont="1"/>
    <xf numFmtId="0" fontId="18" fillId="0" borderId="0" xfId="3" applyAlignment="1" applyProtection="1"/>
    <xf numFmtId="9" fontId="1" fillId="0" borderId="0" xfId="9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165" fontId="29" fillId="0" borderId="0" xfId="1" applyNumberFormat="1" applyFont="1" applyAlignment="1"/>
    <xf numFmtId="172" fontId="28" fillId="0" borderId="0" xfId="0" applyNumberFormat="1" applyFont="1"/>
    <xf numFmtId="0" fontId="28" fillId="0" borderId="0" xfId="0" applyNumberFormat="1" applyFont="1"/>
    <xf numFmtId="172" fontId="37" fillId="0" borderId="0" xfId="2" applyNumberFormat="1" applyFont="1"/>
    <xf numFmtId="172" fontId="38" fillId="0" borderId="0" xfId="2" applyNumberFormat="1" applyFo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4" xfId="0" applyFont="1" applyBorder="1" applyAlignment="1">
      <alignment horizontal="center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9" xfId="0" applyFont="1" applyBorder="1" applyAlignment="1">
      <alignment horizontal="center"/>
    </xf>
    <xf numFmtId="2" fontId="33" fillId="0" borderId="0" xfId="0" applyNumberFormat="1" applyFont="1" applyBorder="1" applyAlignment="1">
      <alignment horizontal="center"/>
    </xf>
    <xf numFmtId="2" fontId="33" fillId="0" borderId="4" xfId="0" applyNumberFormat="1" applyFont="1" applyBorder="1" applyAlignment="1">
      <alignment horizontal="center"/>
    </xf>
    <xf numFmtId="2" fontId="33" fillId="0" borderId="9" xfId="0" applyNumberFormat="1" applyFont="1" applyBorder="1" applyAlignment="1">
      <alignment horizontal="center"/>
    </xf>
    <xf numFmtId="2" fontId="33" fillId="0" borderId="0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 wrapText="1"/>
    </xf>
    <xf numFmtId="2" fontId="33" fillId="0" borderId="9" xfId="0" applyNumberFormat="1" applyFont="1" applyBorder="1" applyAlignment="1">
      <alignment horizontal="center" vertical="top" wrapText="1"/>
    </xf>
    <xf numFmtId="2" fontId="33" fillId="0" borderId="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10" xfId="0" applyNumberFormat="1" applyFont="1" applyBorder="1" applyAlignment="1">
      <alignment horizontal="center" vertical="top" wrapText="1"/>
    </xf>
    <xf numFmtId="2" fontId="33" fillId="0" borderId="1" xfId="0" applyNumberFormat="1" applyFont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3" fillId="0" borderId="4" xfId="0" applyNumberFormat="1" applyFont="1" applyBorder="1" applyAlignment="1">
      <alignment horizontal="center"/>
    </xf>
    <xf numFmtId="166" fontId="33" fillId="0" borderId="9" xfId="0" applyNumberFormat="1" applyFont="1" applyBorder="1" applyAlignment="1">
      <alignment horizontal="center"/>
    </xf>
    <xf numFmtId="166" fontId="33" fillId="0" borderId="0" xfId="0" applyNumberFormat="1" applyFont="1" applyBorder="1" applyAlignment="1">
      <alignment horizontal="center" vertical="top"/>
    </xf>
    <xf numFmtId="166" fontId="33" fillId="0" borderId="4" xfId="0" applyNumberFormat="1" applyFont="1" applyBorder="1" applyAlignment="1">
      <alignment horizontal="center" vertical="top" wrapText="1"/>
    </xf>
    <xf numFmtId="166" fontId="33" fillId="0" borderId="9" xfId="0" applyNumberFormat="1" applyFont="1" applyBorder="1" applyAlignment="1">
      <alignment horizontal="center" vertical="top" wrapText="1"/>
    </xf>
    <xf numFmtId="166" fontId="33" fillId="0" borderId="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/>
    </xf>
    <xf numFmtId="166" fontId="33" fillId="0" borderId="11" xfId="0" applyNumberFormat="1" applyFont="1" applyBorder="1" applyAlignment="1">
      <alignment horizontal="center" vertical="top" wrapText="1"/>
    </xf>
    <xf numFmtId="166" fontId="33" fillId="0" borderId="10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1" xfId="0" applyNumberFormat="1" applyFont="1" applyBorder="1" applyAlignment="1">
      <alignment horizontal="center"/>
    </xf>
    <xf numFmtId="166" fontId="33" fillId="0" borderId="10" xfId="0" applyNumberFormat="1" applyFont="1" applyBorder="1" applyAlignment="1">
      <alignment horizontal="center"/>
    </xf>
    <xf numFmtId="166" fontId="33" fillId="0" borderId="1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8" fillId="0" borderId="9" xfId="0" quotePrefix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1" fillId="0" borderId="0" xfId="9" applyNumberFormat="1" applyFont="1" applyBorder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/>
    <xf numFmtId="0" fontId="7" fillId="0" borderId="0" xfId="0" applyFont="1" applyFill="1" applyAlignment="1">
      <alignment horizontal="center"/>
    </xf>
    <xf numFmtId="0" fontId="28" fillId="0" borderId="0" xfId="0" applyFont="1" applyAlignment="1"/>
    <xf numFmtId="0" fontId="0" fillId="0" borderId="0" xfId="0" applyAlignment="1"/>
    <xf numFmtId="0" fontId="2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168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65" fontId="11" fillId="0" borderId="2" xfId="1" applyNumberFormat="1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1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8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35" fillId="0" borderId="0" xfId="7" applyFont="1" applyAlignment="1">
      <alignment horizontal="center"/>
    </xf>
    <xf numFmtId="169" fontId="1" fillId="0" borderId="0" xfId="4" applyNumberFormat="1" applyFont="1" applyFill="1" applyBorder="1" applyAlignment="1">
      <alignment horizontal="center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C2'!$E$14:$E$25</c:f>
              <c:numCache>
                <c:formatCode>0.00</c:formatCode>
                <c:ptCount val="12"/>
                <c:pt idx="0">
                  <c:v>22369.85</c:v>
                </c:pt>
                <c:pt idx="1">
                  <c:v>22646.73</c:v>
                </c:pt>
                <c:pt idx="2">
                  <c:v>22646.45</c:v>
                </c:pt>
                <c:pt idx="3">
                  <c:v>23021.33</c:v>
                </c:pt>
                <c:pt idx="4">
                  <c:v>23456.3</c:v>
                </c:pt>
                <c:pt idx="5">
                  <c:v>24019.77</c:v>
                </c:pt>
                <c:pt idx="6">
                  <c:v>24507.17</c:v>
                </c:pt>
                <c:pt idx="7">
                  <c:v>24826.9</c:v>
                </c:pt>
                <c:pt idx="8">
                  <c:v>25194.58</c:v>
                </c:pt>
                <c:pt idx="9">
                  <c:v>25257.58</c:v>
                </c:pt>
                <c:pt idx="10">
                  <c:v>25533.57</c:v>
                </c:pt>
                <c:pt idx="11">
                  <c:v>25959.37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500"/>
          <c:min val="22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1.56</c:v>
                </c:pt>
                <c:pt idx="1">
                  <c:v>1.58</c:v>
                </c:pt>
                <c:pt idx="2">
                  <c:v>1.59</c:v>
                </c:pt>
                <c:pt idx="3">
                  <c:v>1.64</c:v>
                </c:pt>
                <c:pt idx="4">
                  <c:v>1.63</c:v>
                </c:pt>
                <c:pt idx="5">
                  <c:v>1.61</c:v>
                </c:pt>
                <c:pt idx="6">
                  <c:v>1.65</c:v>
                </c:pt>
                <c:pt idx="7">
                  <c:v>1.67</c:v>
                </c:pt>
                <c:pt idx="8">
                  <c:v>1.66</c:v>
                </c:pt>
                <c:pt idx="9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0A-4EED-9CFD-701DCEFC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  <c:pt idx="11">
                  <c:v>43830</c:v>
                </c:pt>
              </c:numCache>
            </c:numRef>
          </c:cat>
          <c:val>
            <c:numRef>
              <c:f>'EXHIBIT C2'!$I$14:$I$25</c:f>
              <c:numCache>
                <c:formatCode>0.00</c:formatCode>
                <c:ptCount val="12"/>
                <c:pt idx="0">
                  <c:v>4308.4399999999996</c:v>
                </c:pt>
                <c:pt idx="1">
                  <c:v>4331.26</c:v>
                </c:pt>
                <c:pt idx="2">
                  <c:v>4381.4799999999996</c:v>
                </c:pt>
                <c:pt idx="3">
                  <c:v>4411.53</c:v>
                </c:pt>
                <c:pt idx="4">
                  <c:v>4454.8</c:v>
                </c:pt>
                <c:pt idx="5">
                  <c:v>4530.24</c:v>
                </c:pt>
                <c:pt idx="6">
                  <c:v>4605.63</c:v>
                </c:pt>
                <c:pt idx="7">
                  <c:v>4695.8999999999996</c:v>
                </c:pt>
                <c:pt idx="8">
                  <c:v>4777.54</c:v>
                </c:pt>
                <c:pt idx="9">
                  <c:v>4857.59</c:v>
                </c:pt>
                <c:pt idx="10">
                  <c:v>4930.59</c:v>
                </c:pt>
                <c:pt idx="11">
                  <c:v>5001.74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5100"/>
          <c:min val="42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0.75129999999999997</c:v>
                </c:pt>
                <c:pt idx="1">
                  <c:v>0.7651</c:v>
                </c:pt>
                <c:pt idx="2">
                  <c:v>0.75549999999999995</c:v>
                </c:pt>
                <c:pt idx="3">
                  <c:v>0.75129999999999997</c:v>
                </c:pt>
                <c:pt idx="4">
                  <c:v>0.75639999999999996</c:v>
                </c:pt>
                <c:pt idx="5">
                  <c:v>0.74770000000000003</c:v>
                </c:pt>
                <c:pt idx="6">
                  <c:v>0.75360000000000005</c:v>
                </c:pt>
                <c:pt idx="7">
                  <c:v>0.76229999999999998</c:v>
                </c:pt>
                <c:pt idx="8">
                  <c:v>0.77529999999999999</c:v>
                </c:pt>
                <c:pt idx="9">
                  <c:v>0.79010000000000002</c:v>
                </c:pt>
                <c:pt idx="10">
                  <c:v>0.80230000000000001</c:v>
                </c:pt>
                <c:pt idx="11">
                  <c:v>0.81200000000000006</c:v>
                </c:pt>
                <c:pt idx="12">
                  <c:v>0.81669999999999998</c:v>
                </c:pt>
                <c:pt idx="13">
                  <c:v>0.81930000000000003</c:v>
                </c:pt>
                <c:pt idx="14">
                  <c:v>0.82520000000000004</c:v>
                </c:pt>
                <c:pt idx="15">
                  <c:v>0.81779999999999997</c:v>
                </c:pt>
                <c:pt idx="16">
                  <c:v>0.81210000000000004</c:v>
                </c:pt>
                <c:pt idx="17">
                  <c:v>0.81169999999999998</c:v>
                </c:pt>
                <c:pt idx="18">
                  <c:v>0.80640000000000001</c:v>
                </c:pt>
                <c:pt idx="19">
                  <c:v>0.80259999999999998</c:v>
                </c:pt>
                <c:pt idx="20">
                  <c:v>0.79879999999999995</c:v>
                </c:pt>
                <c:pt idx="21">
                  <c:v>0.79090000000000005</c:v>
                </c:pt>
                <c:pt idx="22">
                  <c:v>0.77529999999999999</c:v>
                </c:pt>
                <c:pt idx="23">
                  <c:v>0.77410000000000001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41639</c:v>
                </c:pt>
                <c:pt idx="1">
                  <c:v>41729</c:v>
                </c:pt>
                <c:pt idx="2">
                  <c:v>41820</c:v>
                </c:pt>
                <c:pt idx="3">
                  <c:v>41912</c:v>
                </c:pt>
                <c:pt idx="4">
                  <c:v>42004</c:v>
                </c:pt>
                <c:pt idx="5">
                  <c:v>42094</c:v>
                </c:pt>
                <c:pt idx="6">
                  <c:v>42185</c:v>
                </c:pt>
                <c:pt idx="7">
                  <c:v>42277</c:v>
                </c:pt>
                <c:pt idx="8">
                  <c:v>42369</c:v>
                </c:pt>
                <c:pt idx="9">
                  <c:v>42460</c:v>
                </c:pt>
                <c:pt idx="10">
                  <c:v>42551</c:v>
                </c:pt>
                <c:pt idx="11">
                  <c:v>42643</c:v>
                </c:pt>
                <c:pt idx="12">
                  <c:v>42735</c:v>
                </c:pt>
                <c:pt idx="13">
                  <c:v>42825</c:v>
                </c:pt>
                <c:pt idx="14">
                  <c:v>42916</c:v>
                </c:pt>
                <c:pt idx="15">
                  <c:v>43008</c:v>
                </c:pt>
                <c:pt idx="16">
                  <c:v>43100</c:v>
                </c:pt>
                <c:pt idx="17">
                  <c:v>43190</c:v>
                </c:pt>
                <c:pt idx="18">
                  <c:v>43281</c:v>
                </c:pt>
                <c:pt idx="19">
                  <c:v>43373</c:v>
                </c:pt>
                <c:pt idx="20">
                  <c:v>43465</c:v>
                </c:pt>
                <c:pt idx="21">
                  <c:v>43555</c:v>
                </c:pt>
                <c:pt idx="22">
                  <c:v>43646</c:v>
                </c:pt>
                <c:pt idx="23">
                  <c:v>43738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2.7492999999999999</c:v>
                </c:pt>
                <c:pt idx="1">
                  <c:v>2.8382999999999998</c:v>
                </c:pt>
                <c:pt idx="2">
                  <c:v>2.8376999999999999</c:v>
                </c:pt>
                <c:pt idx="3">
                  <c:v>2.8414000000000001</c:v>
                </c:pt>
                <c:pt idx="4">
                  <c:v>2.8426999999999998</c:v>
                </c:pt>
                <c:pt idx="5">
                  <c:v>2.8035000000000001</c:v>
                </c:pt>
                <c:pt idx="6">
                  <c:v>2.8060999999999998</c:v>
                </c:pt>
                <c:pt idx="7">
                  <c:v>2.8283</c:v>
                </c:pt>
                <c:pt idx="8">
                  <c:v>2.8386</c:v>
                </c:pt>
                <c:pt idx="9">
                  <c:v>2.8155999999999999</c:v>
                </c:pt>
                <c:pt idx="10">
                  <c:v>2.8241000000000001</c:v>
                </c:pt>
                <c:pt idx="11">
                  <c:v>2.8268</c:v>
                </c:pt>
                <c:pt idx="12">
                  <c:v>2.8247</c:v>
                </c:pt>
                <c:pt idx="13">
                  <c:v>2.8056000000000001</c:v>
                </c:pt>
                <c:pt idx="14">
                  <c:v>2.7898999999999998</c:v>
                </c:pt>
                <c:pt idx="15">
                  <c:v>2.7532000000000001</c:v>
                </c:pt>
                <c:pt idx="16">
                  <c:v>2.7385999999999999</c:v>
                </c:pt>
                <c:pt idx="17">
                  <c:v>2.7464</c:v>
                </c:pt>
                <c:pt idx="18">
                  <c:v>2.7589999999999999</c:v>
                </c:pt>
                <c:pt idx="19">
                  <c:v>2.7652000000000001</c:v>
                </c:pt>
                <c:pt idx="20">
                  <c:v>2.7677999999999998</c:v>
                </c:pt>
                <c:pt idx="21">
                  <c:v>2.7608000000000001</c:v>
                </c:pt>
                <c:pt idx="22">
                  <c:v>2.7176999999999998</c:v>
                </c:pt>
                <c:pt idx="23">
                  <c:v>2.6850999999999998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1.37</c:v>
                </c:pt>
                <c:pt idx="1">
                  <c:v>1.36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1.37</c:v>
                </c:pt>
                <c:pt idx="6">
                  <c:v>1.44</c:v>
                </c:pt>
                <c:pt idx="7">
                  <c:v>1.51</c:v>
                </c:pt>
                <c:pt idx="8">
                  <c:v>1.56</c:v>
                </c:pt>
                <c:pt idx="9">
                  <c:v>1.57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6-4D7E-B5D1-2B4459ADD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7000000000000002"/>
          <c:min val="1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0.89</c:v>
                </c:pt>
                <c:pt idx="1">
                  <c:v>0.89</c:v>
                </c:pt>
                <c:pt idx="2">
                  <c:v>0.91</c:v>
                </c:pt>
                <c:pt idx="3">
                  <c:v>0.89</c:v>
                </c:pt>
                <c:pt idx="4">
                  <c:v>0.88</c:v>
                </c:pt>
                <c:pt idx="5">
                  <c:v>0.9</c:v>
                </c:pt>
                <c:pt idx="6">
                  <c:v>0.94</c:v>
                </c:pt>
                <c:pt idx="7">
                  <c:v>0.96</c:v>
                </c:pt>
                <c:pt idx="8">
                  <c:v>0.99</c:v>
                </c:pt>
                <c:pt idx="9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E5-4CE0-9CF1-0546B5359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0.67</c:v>
                </c:pt>
                <c:pt idx="1">
                  <c:v>0.68</c:v>
                </c:pt>
                <c:pt idx="2">
                  <c:v>0.69</c:v>
                </c:pt>
                <c:pt idx="3">
                  <c:v>0.67</c:v>
                </c:pt>
                <c:pt idx="4">
                  <c:v>0.67</c:v>
                </c:pt>
                <c:pt idx="5">
                  <c:v>0.7</c:v>
                </c:pt>
                <c:pt idx="6">
                  <c:v>0.71</c:v>
                </c:pt>
                <c:pt idx="7">
                  <c:v>0.73</c:v>
                </c:pt>
                <c:pt idx="8">
                  <c:v>0.74</c:v>
                </c:pt>
                <c:pt idx="9">
                  <c:v>0.73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3-4CDB-B6DF-CF1C51E72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8"/>
          <c:min val="0.6000000000000000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2.2000000000000002</c:v>
                </c:pt>
                <c:pt idx="1">
                  <c:v>2.2000000000000002</c:v>
                </c:pt>
                <c:pt idx="2">
                  <c:v>2.19</c:v>
                </c:pt>
                <c:pt idx="3">
                  <c:v>2.27</c:v>
                </c:pt>
                <c:pt idx="4">
                  <c:v>2.29</c:v>
                </c:pt>
                <c:pt idx="5">
                  <c:v>2.23</c:v>
                </c:pt>
                <c:pt idx="6">
                  <c:v>2.25</c:v>
                </c:pt>
                <c:pt idx="7">
                  <c:v>2.27</c:v>
                </c:pt>
                <c:pt idx="8">
                  <c:v>2.27</c:v>
                </c:pt>
                <c:pt idx="9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4-4166-93AC-99B0AE5CF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2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42185</c:v>
                </c:pt>
                <c:pt idx="1">
                  <c:v>42369</c:v>
                </c:pt>
                <c:pt idx="2">
                  <c:v>42551</c:v>
                </c:pt>
                <c:pt idx="3">
                  <c:v>42735</c:v>
                </c:pt>
                <c:pt idx="4">
                  <c:v>42916</c:v>
                </c:pt>
                <c:pt idx="5">
                  <c:v>43100</c:v>
                </c:pt>
                <c:pt idx="6">
                  <c:v>43281</c:v>
                </c:pt>
                <c:pt idx="7">
                  <c:v>43465</c:v>
                </c:pt>
                <c:pt idx="8">
                  <c:v>43646</c:v>
                </c:pt>
                <c:pt idx="9">
                  <c:v>43830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1.92</c:v>
                </c:pt>
                <c:pt idx="1">
                  <c:v>1.94</c:v>
                </c:pt>
                <c:pt idx="2">
                  <c:v>1.94</c:v>
                </c:pt>
                <c:pt idx="3">
                  <c:v>2.0099999999999998</c:v>
                </c:pt>
                <c:pt idx="4">
                  <c:v>2</c:v>
                </c:pt>
                <c:pt idx="5">
                  <c:v>1.95</c:v>
                </c:pt>
                <c:pt idx="6">
                  <c:v>2</c:v>
                </c:pt>
                <c:pt idx="7">
                  <c:v>2.02</c:v>
                </c:pt>
                <c:pt idx="8">
                  <c:v>2.02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4B3-A87C-6C556067B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0499999999999998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FC6E4CD-46C1-4C9C-9D36-06E569457A7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9339841-61D2-4835-8AC8-3EAD89E02E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98F1E10D-64C8-4FB5-BA63-2685E892A39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D42A9D13-36E5-4349-80EE-527E189D7F9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35AB63D4-BEE2-42D8-B81D-38A4662B13A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CC787B64-1535-42F5-8887-8CED3F2DBE7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54"/>
  <sheetViews>
    <sheetView showGridLines="0" tabSelected="1" zoomScaleNormal="100" zoomScaleSheetLayoutView="90" workbookViewId="0"/>
  </sheetViews>
  <sheetFormatPr defaultColWidth="9.1328125" defaultRowHeight="15" customHeight="1"/>
  <cols>
    <col min="1" max="1" width="3.59765625" style="43" customWidth="1"/>
    <col min="2" max="2" width="36.1328125" style="43" customWidth="1"/>
    <col min="3" max="3" width="69.73046875" style="43" customWidth="1"/>
    <col min="4" max="4" width="16.86328125" style="43" bestFit="1" customWidth="1"/>
    <col min="5" max="5" width="9.1328125" style="43"/>
    <col min="6" max="6" width="3" style="43" customWidth="1"/>
    <col min="7" max="16384" width="9.1328125" style="43"/>
  </cols>
  <sheetData>
    <row r="1" spans="1:9" s="40" customFormat="1" ht="15" customHeight="1">
      <c r="A1" s="36" t="s">
        <v>0</v>
      </c>
      <c r="B1" s="37"/>
      <c r="C1" s="38"/>
      <c r="D1" s="38"/>
      <c r="E1" s="38"/>
      <c r="F1" s="39"/>
      <c r="G1" s="38"/>
      <c r="H1" s="38"/>
      <c r="I1" s="39"/>
    </row>
    <row r="2" spans="1:9" s="40" customFormat="1" ht="15" customHeight="1"/>
    <row r="3" spans="1:9" s="40" customFormat="1" ht="15" customHeight="1"/>
    <row r="4" spans="1:9" s="40" customFormat="1" ht="15" customHeight="1">
      <c r="A4" s="41"/>
      <c r="B4" s="41"/>
      <c r="C4" s="41"/>
      <c r="D4" s="41"/>
      <c r="E4" s="41"/>
      <c r="F4" s="41"/>
      <c r="G4" s="41"/>
      <c r="H4" s="41"/>
      <c r="I4" s="41"/>
    </row>
    <row r="5" spans="1:9" s="40" customFormat="1" ht="15" customHeight="1">
      <c r="A5" s="247" t="s">
        <v>110</v>
      </c>
      <c r="B5" s="247"/>
      <c r="C5" s="247"/>
      <c r="D5" s="247"/>
      <c r="E5" s="247"/>
      <c r="F5" s="42"/>
      <c r="G5" s="42"/>
      <c r="H5" s="42"/>
      <c r="I5" s="42"/>
    </row>
    <row r="7" spans="1:9" s="45" customFormat="1" ht="15" customHeight="1">
      <c r="A7" s="44" t="s">
        <v>88</v>
      </c>
      <c r="B7" s="44"/>
      <c r="C7" s="44"/>
      <c r="D7" s="44"/>
      <c r="E7" s="44"/>
      <c r="F7" s="44"/>
    </row>
    <row r="8" spans="1:9" s="49" customFormat="1" ht="15" customHeight="1">
      <c r="A8" s="46" t="s">
        <v>89</v>
      </c>
      <c r="B8" s="47"/>
      <c r="C8" s="48"/>
      <c r="D8" s="47"/>
      <c r="E8" s="47"/>
      <c r="F8" s="47"/>
    </row>
    <row r="9" spans="1:9" s="49" customFormat="1" ht="15" customHeight="1">
      <c r="A9" s="46" t="s">
        <v>90</v>
      </c>
      <c r="B9" s="47"/>
      <c r="C9" s="48"/>
      <c r="D9" s="47"/>
      <c r="E9" s="47"/>
      <c r="F9" s="47"/>
    </row>
    <row r="10" spans="1:9" s="49" customFormat="1" ht="15" customHeight="1">
      <c r="A10" s="46" t="s">
        <v>91</v>
      </c>
      <c r="B10" s="47"/>
      <c r="C10" s="48"/>
      <c r="D10" s="47"/>
      <c r="E10" s="47"/>
      <c r="F10" s="47"/>
    </row>
    <row r="11" spans="1:9" s="49" customFormat="1" ht="15" customHeight="1">
      <c r="A11" s="46" t="s">
        <v>92</v>
      </c>
      <c r="B11" s="47"/>
      <c r="C11" s="47"/>
      <c r="D11" s="48"/>
      <c r="E11" s="47"/>
      <c r="F11" s="47"/>
    </row>
    <row r="12" spans="1:9" s="45" customFormat="1" ht="15" customHeight="1">
      <c r="A12" s="50"/>
      <c r="B12" s="50"/>
      <c r="C12" s="50"/>
      <c r="D12" s="51"/>
      <c r="E12" s="50"/>
      <c r="F12" s="50"/>
    </row>
    <row r="13" spans="1:9" s="45" customFormat="1" ht="15" customHeight="1">
      <c r="A13" s="44" t="s">
        <v>93</v>
      </c>
      <c r="B13" s="44"/>
      <c r="C13" s="44"/>
      <c r="D13" s="44"/>
      <c r="E13" s="44"/>
      <c r="F13" s="44"/>
    </row>
    <row r="14" spans="1:9" s="45" customFormat="1" ht="15" customHeight="1">
      <c r="A14" s="52" t="s">
        <v>94</v>
      </c>
      <c r="B14" s="50"/>
      <c r="C14" s="50"/>
      <c r="D14" s="50"/>
      <c r="E14" s="50"/>
      <c r="F14" s="50"/>
    </row>
    <row r="15" spans="1:9" s="45" customFormat="1" ht="15" customHeight="1">
      <c r="A15" s="50" t="s">
        <v>95</v>
      </c>
      <c r="B15" s="50"/>
      <c r="C15" s="50"/>
      <c r="D15" s="50"/>
      <c r="E15" s="50"/>
      <c r="F15" s="50"/>
    </row>
    <row r="16" spans="1:9" s="45" customFormat="1" ht="15" customHeight="1">
      <c r="A16" s="50" t="s">
        <v>96</v>
      </c>
      <c r="B16" s="50"/>
      <c r="C16" s="50"/>
      <c r="D16" s="50"/>
      <c r="E16" s="50"/>
      <c r="F16" s="50"/>
    </row>
    <row r="17" spans="1:6" s="45" customFormat="1" ht="15" customHeight="1">
      <c r="A17" s="50" t="s">
        <v>97</v>
      </c>
      <c r="B17" s="50"/>
      <c r="C17" s="50"/>
      <c r="D17" s="50"/>
      <c r="E17" s="50"/>
      <c r="F17" s="50"/>
    </row>
    <row r="18" spans="1:6" s="45" customFormat="1" ht="15" customHeight="1">
      <c r="A18" s="50" t="s">
        <v>98</v>
      </c>
      <c r="B18" s="50"/>
      <c r="C18" s="50"/>
      <c r="D18" s="50"/>
      <c r="E18" s="50"/>
      <c r="F18" s="50"/>
    </row>
    <row r="19" spans="1:6" s="45" customFormat="1" ht="15" customHeight="1">
      <c r="A19" s="50"/>
      <c r="B19" s="50"/>
      <c r="C19" s="50"/>
      <c r="D19" s="50"/>
      <c r="E19" s="50"/>
      <c r="F19" s="50"/>
    </row>
    <row r="20" spans="1:6" s="45" customFormat="1" ht="15" customHeight="1">
      <c r="A20" s="44" t="s">
        <v>99</v>
      </c>
      <c r="B20" s="44"/>
      <c r="C20" s="44"/>
      <c r="D20" s="44"/>
      <c r="E20" s="44"/>
      <c r="F20" s="44"/>
    </row>
    <row r="21" spans="1:6" s="45" customFormat="1" ht="15" customHeight="1">
      <c r="A21" s="50" t="s">
        <v>100</v>
      </c>
      <c r="B21" s="50"/>
      <c r="C21" s="50"/>
      <c r="D21" s="50"/>
      <c r="E21" s="50"/>
      <c r="F21" s="50"/>
    </row>
    <row r="22" spans="1:6" s="45" customFormat="1" ht="15" customHeight="1">
      <c r="A22" s="50" t="s">
        <v>134</v>
      </c>
      <c r="B22" s="50"/>
      <c r="C22" s="50"/>
      <c r="D22" s="50"/>
      <c r="E22" s="50"/>
      <c r="F22" s="50"/>
    </row>
    <row r="23" spans="1:6" s="45" customFormat="1" ht="15" customHeight="1">
      <c r="A23" s="50" t="s">
        <v>133</v>
      </c>
      <c r="B23" s="50"/>
      <c r="C23" s="50"/>
      <c r="D23" s="50"/>
      <c r="E23" s="50"/>
      <c r="F23" s="50"/>
    </row>
    <row r="24" spans="1:6" s="45" customFormat="1" ht="15" customHeight="1">
      <c r="A24" s="50"/>
      <c r="B24" s="50"/>
      <c r="C24" s="50"/>
      <c r="D24" s="50"/>
      <c r="E24" s="50"/>
      <c r="F24" s="50"/>
    </row>
    <row r="25" spans="1:6" s="45" customFormat="1" ht="15" customHeight="1">
      <c r="A25" s="44" t="s">
        <v>101</v>
      </c>
      <c r="B25" s="44"/>
      <c r="C25" s="44"/>
      <c r="D25" s="44"/>
      <c r="E25" s="44"/>
      <c r="F25" s="44"/>
    </row>
    <row r="26" spans="1:6" s="45" customFormat="1" ht="15" customHeight="1">
      <c r="A26" s="50" t="s">
        <v>102</v>
      </c>
      <c r="B26" s="50"/>
      <c r="C26" s="50"/>
      <c r="D26" s="50"/>
      <c r="E26" s="50"/>
      <c r="F26" s="50"/>
    </row>
    <row r="27" spans="1:6" s="45" customFormat="1" ht="15" customHeight="1">
      <c r="A27" s="50"/>
      <c r="B27" s="50"/>
      <c r="C27" s="50"/>
      <c r="D27" s="50"/>
      <c r="E27" s="50"/>
      <c r="F27" s="50"/>
    </row>
    <row r="28" spans="1:6" s="45" customFormat="1" ht="15" customHeight="1">
      <c r="A28" s="50"/>
      <c r="B28" s="53" t="s">
        <v>103</v>
      </c>
      <c r="C28" s="53" t="s">
        <v>104</v>
      </c>
      <c r="D28" s="54"/>
      <c r="E28" s="50"/>
      <c r="F28" s="50"/>
    </row>
    <row r="29" spans="1:6" s="45" customFormat="1" ht="15" customHeight="1">
      <c r="A29" s="50"/>
      <c r="B29" s="138" t="s">
        <v>130</v>
      </c>
      <c r="C29" s="55" t="s">
        <v>105</v>
      </c>
      <c r="D29" s="56"/>
      <c r="E29" s="50"/>
      <c r="F29" s="50"/>
    </row>
    <row r="30" spans="1:6" s="45" customFormat="1" ht="15" customHeight="1">
      <c r="A30" s="50"/>
      <c r="B30" s="181" t="s">
        <v>131</v>
      </c>
      <c r="C30" s="55" t="s">
        <v>132</v>
      </c>
      <c r="D30" s="56"/>
      <c r="E30" s="50"/>
      <c r="F30" s="50"/>
    </row>
    <row r="31" spans="1:6" s="45" customFormat="1" ht="15" customHeight="1">
      <c r="A31" s="50"/>
      <c r="B31" s="181" t="s">
        <v>281</v>
      </c>
      <c r="C31" s="55" t="s">
        <v>331</v>
      </c>
      <c r="D31" s="56"/>
      <c r="E31" s="50"/>
      <c r="F31" s="50"/>
    </row>
    <row r="32" spans="1:6" s="45" customFormat="1" ht="15" customHeight="1">
      <c r="A32" s="50"/>
      <c r="B32" s="181" t="s">
        <v>282</v>
      </c>
      <c r="C32" s="55" t="s">
        <v>332</v>
      </c>
      <c r="D32" s="56"/>
      <c r="E32" s="50"/>
      <c r="F32" s="50"/>
    </row>
    <row r="33" spans="1:6" s="45" customFormat="1" ht="15" customHeight="1">
      <c r="A33" s="50"/>
      <c r="B33" s="181" t="s">
        <v>333</v>
      </c>
      <c r="C33" s="55" t="s">
        <v>334</v>
      </c>
      <c r="D33" s="56"/>
      <c r="E33" s="50"/>
      <c r="F33" s="50"/>
    </row>
    <row r="34" spans="1:6" s="45" customFormat="1" ht="15" customHeight="1">
      <c r="A34" s="50"/>
      <c r="B34" s="181" t="s">
        <v>283</v>
      </c>
      <c r="C34" s="55" t="s">
        <v>335</v>
      </c>
      <c r="D34" s="56"/>
      <c r="E34" s="50"/>
      <c r="F34" s="50"/>
    </row>
    <row r="35" spans="1:6" s="45" customFormat="1" ht="15" customHeight="1">
      <c r="A35" s="50"/>
      <c r="B35" s="181" t="s">
        <v>284</v>
      </c>
      <c r="C35" s="55" t="s">
        <v>336</v>
      </c>
      <c r="D35" s="56"/>
      <c r="E35" s="50"/>
      <c r="F35" s="50"/>
    </row>
    <row r="36" spans="1:6" s="45" customFormat="1" ht="15" customHeight="1">
      <c r="A36" s="50"/>
      <c r="B36" s="181" t="s">
        <v>285</v>
      </c>
      <c r="C36" s="55" t="s">
        <v>327</v>
      </c>
      <c r="D36" s="56"/>
      <c r="E36" s="50"/>
      <c r="F36" s="50"/>
    </row>
    <row r="37" spans="1:6" s="45" customFormat="1" ht="15" customHeight="1">
      <c r="A37" s="50"/>
      <c r="B37" s="181" t="s">
        <v>286</v>
      </c>
      <c r="C37" s="55" t="s">
        <v>236</v>
      </c>
      <c r="D37" s="56"/>
      <c r="E37" s="50"/>
      <c r="F37" s="50"/>
    </row>
    <row r="38" spans="1:6" s="45" customFormat="1" ht="15" customHeight="1">
      <c r="A38" s="50"/>
      <c r="B38" s="181" t="s">
        <v>287</v>
      </c>
      <c r="C38" s="55" t="s">
        <v>280</v>
      </c>
      <c r="D38" s="56"/>
      <c r="E38" s="50"/>
      <c r="F38" s="50"/>
    </row>
    <row r="39" spans="1:6" s="45" customFormat="1" ht="15" customHeight="1">
      <c r="A39" s="50"/>
      <c r="B39" s="181" t="s">
        <v>288</v>
      </c>
      <c r="C39" s="55" t="s">
        <v>278</v>
      </c>
      <c r="D39" s="56"/>
      <c r="E39" s="50"/>
      <c r="F39" s="50"/>
    </row>
    <row r="40" spans="1:6" s="45" customFormat="1" ht="15" customHeight="1">
      <c r="A40" s="50"/>
      <c r="B40" s="181" t="s">
        <v>289</v>
      </c>
      <c r="C40" s="55" t="s">
        <v>279</v>
      </c>
      <c r="D40" s="56"/>
      <c r="E40" s="50"/>
      <c r="F40" s="50"/>
    </row>
    <row r="41" spans="1:6" s="45" customFormat="1" ht="15" customHeight="1">
      <c r="A41" s="50"/>
      <c r="B41" s="181" t="s">
        <v>290</v>
      </c>
      <c r="C41" s="55" t="s">
        <v>351</v>
      </c>
      <c r="D41" s="56"/>
      <c r="E41" s="50"/>
      <c r="F41" s="50"/>
    </row>
    <row r="42" spans="1:6" s="45" customFormat="1" ht="15" customHeight="1">
      <c r="A42" s="50"/>
      <c r="B42" s="181" t="s">
        <v>291</v>
      </c>
      <c r="C42" s="55" t="s">
        <v>352</v>
      </c>
      <c r="D42" s="56"/>
      <c r="E42" s="50"/>
      <c r="F42" s="50"/>
    </row>
    <row r="43" spans="1:6" s="45" customFormat="1" ht="15" customHeight="1">
      <c r="A43" s="50"/>
      <c r="B43" s="181" t="s">
        <v>292</v>
      </c>
      <c r="C43" s="55" t="s">
        <v>353</v>
      </c>
      <c r="D43" s="56"/>
      <c r="E43" s="50"/>
      <c r="F43" s="50"/>
    </row>
    <row r="44" spans="1:6" s="45" customFormat="1" ht="15" customHeight="1">
      <c r="A44" s="50"/>
      <c r="B44" s="181" t="s">
        <v>293</v>
      </c>
      <c r="C44" s="55" t="s">
        <v>354</v>
      </c>
      <c r="D44" s="56"/>
      <c r="E44" s="50"/>
      <c r="F44" s="50"/>
    </row>
    <row r="45" spans="1:6" s="45" customFormat="1" ht="15" customHeight="1">
      <c r="A45" s="50"/>
      <c r="B45" s="181" t="s">
        <v>294</v>
      </c>
      <c r="C45" s="55" t="s">
        <v>355</v>
      </c>
      <c r="D45" s="56"/>
      <c r="E45" s="50"/>
      <c r="F45" s="50"/>
    </row>
    <row r="46" spans="1:6" ht="15" customHeight="1">
      <c r="A46" s="55"/>
      <c r="B46" s="55"/>
      <c r="C46" s="55"/>
      <c r="D46" s="55"/>
      <c r="E46" s="55"/>
      <c r="F46" s="55"/>
    </row>
    <row r="47" spans="1:6" s="45" customFormat="1" ht="15" customHeight="1">
      <c r="A47" s="44" t="s">
        <v>106</v>
      </c>
      <c r="B47" s="44"/>
      <c r="C47" s="44"/>
      <c r="D47" s="44"/>
      <c r="E47" s="44"/>
      <c r="F47" s="44"/>
    </row>
    <row r="48" spans="1:6" ht="15" customHeight="1">
      <c r="A48" s="50" t="s">
        <v>107</v>
      </c>
      <c r="B48" s="57"/>
      <c r="C48" s="57"/>
      <c r="D48" s="57"/>
      <c r="E48" s="57"/>
      <c r="F48" s="57"/>
    </row>
    <row r="49" spans="1:6" ht="15" customHeight="1">
      <c r="A49" s="50" t="s">
        <v>108</v>
      </c>
      <c r="B49" s="57"/>
      <c r="C49" s="57"/>
      <c r="D49" s="57"/>
      <c r="E49" s="57"/>
      <c r="F49" s="57"/>
    </row>
    <row r="50" spans="1:6" ht="15" customHeight="1">
      <c r="A50" s="50" t="s">
        <v>109</v>
      </c>
      <c r="B50" s="55"/>
      <c r="C50" s="55"/>
      <c r="D50" s="55"/>
      <c r="E50" s="55"/>
      <c r="F50" s="55"/>
    </row>
    <row r="51" spans="1:6" ht="15" customHeight="1">
      <c r="A51" s="50"/>
      <c r="B51" s="55"/>
      <c r="C51" s="55"/>
      <c r="D51" s="55"/>
      <c r="E51" s="55"/>
      <c r="F51" s="55"/>
    </row>
    <row r="52" spans="1:6" ht="15" customHeight="1">
      <c r="A52" s="44"/>
      <c r="B52" s="44"/>
      <c r="C52" s="44"/>
      <c r="D52" s="44"/>
      <c r="E52" s="44"/>
      <c r="F52" s="44"/>
    </row>
    <row r="53" spans="1:6" ht="15" customHeight="1">
      <c r="A53" s="55"/>
      <c r="B53" s="55"/>
      <c r="C53" s="55"/>
      <c r="D53" s="55"/>
      <c r="E53" s="55"/>
      <c r="F53" s="55"/>
    </row>
    <row r="54" spans="1:6" ht="15" customHeight="1">
      <c r="A54" s="55"/>
    </row>
  </sheetData>
  <mergeCells count="1">
    <mergeCell ref="A5:E5"/>
  </mergeCells>
  <hyperlinks>
    <hyperlink ref="B30" location="DZ_FACTORS!A1" display="FACTORS" xr:uid="{476FBA21-B13F-42ED-8045-53A92537694D}"/>
    <hyperlink ref="B34" location="'EXHIBIT B1'!A1" display="EXHIBIT B1" xr:uid="{43DC34E4-CB9B-45A3-82AF-BFCF692FE52F}"/>
    <hyperlink ref="B35" location="'EXHIBIT B2'!A1" display="EXHIBIT B2" xr:uid="{C28ED55C-F856-4275-B514-4C3DB22E4DD0}"/>
    <hyperlink ref="B36" location="'EXHIBIT C1'!A1" display="EXHIBIT C1" xr:uid="{73F0C821-4DD0-40CA-8468-639B90FD2491}"/>
    <hyperlink ref="B31" location="'EXHIBIT A1'!A1" display="EXHIBIT A1" xr:uid="{470F9A65-DB3F-4A4F-A583-BA0F346688BA}"/>
    <hyperlink ref="B32" location="'EXHIBIT A2'!A1" display="EXHIBIT A2" xr:uid="{A7EF7F94-07C9-4592-94E6-AED33A00FD7F}"/>
    <hyperlink ref="B37" location="'EXHIBIT C2'!A1" display="EXHIBIT C2" xr:uid="{B6700249-090D-493D-B707-CE1A38DCDEAD}"/>
    <hyperlink ref="B38" location="'EXHIBIT C3'!A1" display="EXHIBIT C3" xr:uid="{5A3233E6-01CE-4A9F-8DBF-EF6812BA37E4}"/>
    <hyperlink ref="B40" location="'EXHIBIT C5'!A1" display="EXHIBIT C5" xr:uid="{2DE94C89-4FB8-4631-A2A7-F3BDCF4C0C20}"/>
    <hyperlink ref="B42" location="'EXHIBIT C7'!A1" display="EXHIBIT C7" xr:uid="{EFCB094F-3D66-4316-BD30-BF53D889EF0E}"/>
    <hyperlink ref="B39" location="'EXHIBIT C4'!A1" display="EXHIBIT C4" xr:uid="{50ED76F7-1FC4-4568-9A65-CE95C31CA664}"/>
    <hyperlink ref="B41" location="'EXHIBIT C6'!A1" display="EXHIBIT C6" xr:uid="{986914C1-4519-4035-BC3C-47E83088000C}"/>
    <hyperlink ref="B33" location="'EXHIBIT A3'!A1" display="EXHIBIT A3" xr:uid="{C9ACE24E-8DC3-47BE-BE49-2C95BEFF43BC}"/>
    <hyperlink ref="B43" location="'EXHIBIT C8'!A1" display="EXHIBIT C8" xr:uid="{9CF1EFA9-930D-49FB-9836-F3EEAEE850EC}"/>
    <hyperlink ref="B44" location="'EXHIBIT C9'!A1" display="EXHIBIT C9" xr:uid="{D648D37F-7475-40CB-B8C4-095BDEFD1E2B}"/>
    <hyperlink ref="B45" location="'EXHIBIT C10'!A1" display="EXHIBIT C10" xr:uid="{B82389FD-8C39-4619-A41C-C88A0C346904}"/>
  </hyperlinks>
  <pageMargins left="0.7" right="0.7" top="0.75" bottom="0.75" header="0.3" footer="0.3"/>
  <pageSetup scale="66" fitToHeight="0" orientation="portrait" useFirstPageNumber="1" horizontalDpi="360" verticalDpi="360" r:id="rId1"/>
  <headerFooter>
    <oddHeader>&amp;RPage &amp;p of 1</oddHeader>
    <oddFooter>&amp;C&amp;"Times New Roman,Regular"Maine CA-2021-RZRLC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0">
      <c r="A1" s="139" t="s">
        <v>0</v>
      </c>
    </row>
    <row r="3" spans="1:10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</row>
    <row r="4" spans="1:10">
      <c r="A4" s="276" t="s">
        <v>264</v>
      </c>
      <c r="B4" s="276"/>
      <c r="C4" s="276"/>
      <c r="D4" s="276"/>
      <c r="E4" s="276"/>
      <c r="F4" s="276"/>
      <c r="G4" s="276"/>
      <c r="H4" s="276"/>
      <c r="I4" s="276"/>
      <c r="J4" s="276"/>
    </row>
    <row r="5" spans="1:10">
      <c r="A5" s="276" t="s">
        <v>135</v>
      </c>
      <c r="B5" s="276"/>
      <c r="C5" s="276"/>
      <c r="D5" s="276"/>
      <c r="E5" s="276"/>
      <c r="F5" s="276"/>
      <c r="G5" s="276"/>
      <c r="H5" s="276"/>
      <c r="I5" s="276"/>
      <c r="J5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47" spans="2:2">
      <c r="B47" s="140" t="s">
        <v>265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43"/>
  <sheetViews>
    <sheetView zoomScaleNormal="100" zoomScaleSheetLayoutView="100" workbookViewId="0"/>
  </sheetViews>
  <sheetFormatPr defaultColWidth="9.1328125" defaultRowHeight="13.15"/>
  <cols>
    <col min="1" max="1" width="1.73046875" style="143" customWidth="1"/>
    <col min="2" max="2" width="14.265625" style="143" bestFit="1" customWidth="1"/>
    <col min="3" max="3" width="1.73046875" style="143" customWidth="1"/>
    <col min="4" max="4" width="15.3984375" style="143" customWidth="1"/>
    <col min="5" max="5" width="1.73046875" style="143" customWidth="1"/>
    <col min="6" max="6" width="17.1328125" style="143" customWidth="1"/>
    <col min="7" max="7" width="1.73046875" style="143" customWidth="1"/>
    <col min="8" max="8" width="17.86328125" style="143" customWidth="1"/>
    <col min="9" max="9" width="1.73046875" style="143" customWidth="1"/>
    <col min="10" max="10" width="18.3984375" style="143" bestFit="1" customWidth="1"/>
    <col min="11" max="11" width="1.73046875" style="143" customWidth="1"/>
    <col min="12" max="16384" width="9.1328125" style="143"/>
  </cols>
  <sheetData>
    <row r="1" spans="1:11">
      <c r="A1" s="142" t="s">
        <v>0</v>
      </c>
    </row>
    <row r="3" spans="1:11">
      <c r="A3" s="277" t="s">
        <v>227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</row>
    <row r="4" spans="1:11">
      <c r="A4" s="277" t="s">
        <v>266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6" spans="1:11">
      <c r="A6" s="277" t="s">
        <v>230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</row>
    <row r="8" spans="1:11">
      <c r="A8" s="278" t="s">
        <v>237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</row>
    <row r="10" spans="1:11">
      <c r="B10" s="144" t="s">
        <v>232</v>
      </c>
      <c r="C10" s="144"/>
      <c r="D10" s="144" t="s">
        <v>32</v>
      </c>
      <c r="E10" s="144"/>
      <c r="F10" s="144" t="s">
        <v>32</v>
      </c>
      <c r="H10" s="144" t="s">
        <v>33</v>
      </c>
      <c r="J10" s="144" t="s">
        <v>33</v>
      </c>
    </row>
    <row r="11" spans="1:11">
      <c r="B11" s="144" t="s">
        <v>267</v>
      </c>
      <c r="C11" s="144"/>
      <c r="D11" s="144" t="s">
        <v>233</v>
      </c>
      <c r="E11" s="144"/>
      <c r="F11" s="144" t="s">
        <v>268</v>
      </c>
      <c r="H11" s="144" t="s">
        <v>233</v>
      </c>
      <c r="J11" s="144" t="s">
        <v>268</v>
      </c>
    </row>
    <row r="13" spans="1:11">
      <c r="B13" s="145">
        <v>41639</v>
      </c>
      <c r="D13" s="146">
        <v>0.75129999999999997</v>
      </c>
      <c r="E13" s="147"/>
      <c r="F13" s="147"/>
      <c r="G13" s="147"/>
      <c r="H13" s="146">
        <v>2.7492999999999999</v>
      </c>
      <c r="I13" s="147"/>
      <c r="J13" s="147"/>
      <c r="K13" s="147"/>
    </row>
    <row r="14" spans="1:11">
      <c r="B14" s="145">
        <v>41729</v>
      </c>
      <c r="D14" s="146">
        <v>0.7651</v>
      </c>
      <c r="E14" s="147"/>
      <c r="F14" s="147"/>
      <c r="G14" s="147"/>
      <c r="H14" s="146">
        <v>2.8382999999999998</v>
      </c>
      <c r="I14" s="147"/>
      <c r="J14" s="147"/>
      <c r="K14" s="147"/>
    </row>
    <row r="15" spans="1:11">
      <c r="B15" s="145">
        <v>41820</v>
      </c>
      <c r="D15" s="146">
        <v>0.75549999999999995</v>
      </c>
      <c r="E15" s="147"/>
      <c r="F15" s="147"/>
      <c r="G15" s="147"/>
      <c r="H15" s="146">
        <v>2.8376999999999999</v>
      </c>
      <c r="I15" s="147"/>
      <c r="J15" s="147"/>
      <c r="K15" s="147"/>
    </row>
    <row r="16" spans="1:11">
      <c r="B16" s="145">
        <v>41912</v>
      </c>
      <c r="D16" s="146">
        <v>0.75129999999999997</v>
      </c>
      <c r="E16" s="147"/>
      <c r="F16" s="147"/>
      <c r="G16" s="147"/>
      <c r="H16" s="146">
        <v>2.8414000000000001</v>
      </c>
      <c r="I16" s="147"/>
      <c r="J16" s="147"/>
      <c r="K16" s="147"/>
    </row>
    <row r="17" spans="2:11">
      <c r="B17" s="145">
        <v>42004</v>
      </c>
      <c r="D17" s="146">
        <v>0.75639999999999996</v>
      </c>
      <c r="E17" s="147"/>
      <c r="F17" s="148" t="str">
        <f>"  "&amp;TEXT(ROUND(D17/D13-1,3),"0.0%")&amp;" &amp;"</f>
        <v xml:space="preserve">  0.7% &amp;</v>
      </c>
      <c r="G17" s="147"/>
      <c r="H17" s="146">
        <v>2.8426999999999998</v>
      </c>
      <c r="I17" s="147"/>
      <c r="J17" s="148" t="str">
        <f>"  "&amp;TEXT(ROUND(H17/H13-1,3),"0.0%")&amp;" &amp;"</f>
        <v xml:space="preserve">  3.4% &amp;</v>
      </c>
      <c r="K17" s="147"/>
    </row>
    <row r="18" spans="2:11">
      <c r="B18" s="145">
        <v>42094</v>
      </c>
      <c r="D18" s="146">
        <v>0.74770000000000003</v>
      </c>
      <c r="E18" s="147"/>
      <c r="F18" s="147"/>
      <c r="G18" s="147"/>
      <c r="H18" s="146">
        <v>2.8035000000000001</v>
      </c>
      <c r="I18" s="147"/>
      <c r="J18" s="147"/>
      <c r="K18" s="147"/>
    </row>
    <row r="19" spans="2:11">
      <c r="B19" s="145">
        <v>42185</v>
      </c>
      <c r="D19" s="146">
        <v>0.75360000000000005</v>
      </c>
      <c r="E19" s="147"/>
      <c r="F19" s="147"/>
      <c r="G19" s="147"/>
      <c r="H19" s="146">
        <v>2.8060999999999998</v>
      </c>
      <c r="I19" s="147"/>
      <c r="J19" s="147"/>
      <c r="K19" s="147"/>
    </row>
    <row r="20" spans="2:11">
      <c r="B20" s="145">
        <v>42277</v>
      </c>
      <c r="D20" s="146">
        <v>0.76229999999999998</v>
      </c>
      <c r="E20" s="147"/>
      <c r="F20" s="148">
        <f>ROUND(D20/D16-1,3)</f>
        <v>1.4999999999999999E-2</v>
      </c>
      <c r="G20" s="147"/>
      <c r="H20" s="146">
        <v>2.8283</v>
      </c>
      <c r="I20" s="147"/>
      <c r="J20" s="148">
        <f>ROUND(H20/H16-1,3)</f>
        <v>-5.0000000000000001E-3</v>
      </c>
      <c r="K20" s="147"/>
    </row>
    <row r="21" spans="2:11">
      <c r="B21" s="145">
        <v>42369</v>
      </c>
      <c r="D21" s="146">
        <v>0.77529999999999999</v>
      </c>
      <c r="E21" s="147"/>
      <c r="F21" s="147"/>
      <c r="G21" s="147"/>
      <c r="H21" s="146">
        <v>2.8386</v>
      </c>
      <c r="I21" s="147"/>
      <c r="J21" s="147"/>
      <c r="K21" s="147"/>
    </row>
    <row r="22" spans="2:11">
      <c r="B22" s="145">
        <v>42460</v>
      </c>
      <c r="D22" s="146">
        <v>0.79010000000000002</v>
      </c>
      <c r="E22" s="147"/>
      <c r="F22" s="147"/>
      <c r="G22" s="147"/>
      <c r="H22" s="146">
        <v>2.8155999999999999</v>
      </c>
      <c r="I22" s="147"/>
      <c r="J22" s="147"/>
      <c r="K22" s="147"/>
    </row>
    <row r="23" spans="2:11">
      <c r="B23" s="145">
        <v>42551</v>
      </c>
      <c r="D23" s="146">
        <v>0.80230000000000001</v>
      </c>
      <c r="E23" s="147"/>
      <c r="F23" s="147"/>
      <c r="G23" s="147"/>
      <c r="H23" s="146">
        <v>2.8241000000000001</v>
      </c>
      <c r="I23" s="147"/>
      <c r="J23" s="147"/>
      <c r="K23" s="147"/>
    </row>
    <row r="24" spans="2:11">
      <c r="B24" s="145">
        <v>42643</v>
      </c>
      <c r="D24" s="146">
        <v>0.81200000000000006</v>
      </c>
      <c r="E24" s="147"/>
      <c r="F24" s="148">
        <f>ROUND(D24/D20-1,3)</f>
        <v>6.5000000000000002E-2</v>
      </c>
      <c r="G24" s="147"/>
      <c r="H24" s="146">
        <v>2.8268</v>
      </c>
      <c r="I24" s="147"/>
      <c r="J24" s="148">
        <f>ROUND(H24/H20-1,3)</f>
        <v>-1E-3</v>
      </c>
      <c r="K24" s="147"/>
    </row>
    <row r="25" spans="2:11">
      <c r="B25" s="145">
        <v>42735</v>
      </c>
      <c r="D25" s="146">
        <v>0.81669999999999998</v>
      </c>
      <c r="E25" s="147"/>
      <c r="F25" s="147"/>
      <c r="G25" s="147"/>
      <c r="H25" s="146">
        <v>2.8247</v>
      </c>
      <c r="I25" s="147"/>
      <c r="J25" s="147"/>
      <c r="K25" s="147"/>
    </row>
    <row r="26" spans="2:11">
      <c r="B26" s="145">
        <v>42825</v>
      </c>
      <c r="D26" s="146">
        <v>0.81930000000000003</v>
      </c>
      <c r="E26" s="147"/>
      <c r="F26" s="147"/>
      <c r="G26" s="147"/>
      <c r="H26" s="146">
        <v>2.8056000000000001</v>
      </c>
      <c r="I26" s="147"/>
      <c r="J26" s="147"/>
      <c r="K26" s="147"/>
    </row>
    <row r="27" spans="2:11">
      <c r="B27" s="145">
        <v>42916</v>
      </c>
      <c r="D27" s="146">
        <v>0.82520000000000004</v>
      </c>
      <c r="E27" s="147"/>
      <c r="F27" s="147"/>
      <c r="G27" s="147"/>
      <c r="H27" s="146">
        <v>2.7898999999999998</v>
      </c>
      <c r="I27" s="147"/>
      <c r="J27" s="147"/>
      <c r="K27" s="147"/>
    </row>
    <row r="28" spans="2:11">
      <c r="B28" s="145">
        <v>43008</v>
      </c>
      <c r="D28" s="146">
        <v>0.81779999999999997</v>
      </c>
      <c r="E28" s="147"/>
      <c r="F28" s="148">
        <f>ROUND(D28/D24-1,3)</f>
        <v>7.0000000000000001E-3</v>
      </c>
      <c r="G28" s="147"/>
      <c r="H28" s="146">
        <v>2.7532000000000001</v>
      </c>
      <c r="I28" s="147"/>
      <c r="J28" s="148">
        <f>ROUND(H28/H24-1,3)</f>
        <v>-2.5999999999999999E-2</v>
      </c>
      <c r="K28" s="147"/>
    </row>
    <row r="29" spans="2:11">
      <c r="B29" s="145">
        <v>43100</v>
      </c>
      <c r="D29" s="146">
        <v>0.81210000000000004</v>
      </c>
      <c r="E29" s="147"/>
      <c r="F29" s="147"/>
      <c r="G29" s="147"/>
      <c r="H29" s="146">
        <v>2.7385999999999999</v>
      </c>
      <c r="I29" s="147"/>
      <c r="J29" s="147"/>
      <c r="K29" s="147"/>
    </row>
    <row r="30" spans="2:11">
      <c r="B30" s="145">
        <v>43190</v>
      </c>
      <c r="D30" s="146">
        <v>0.81169999999999998</v>
      </c>
      <c r="E30" s="147"/>
      <c r="F30" s="147"/>
      <c r="G30" s="147"/>
      <c r="H30" s="146">
        <v>2.7464</v>
      </c>
      <c r="I30" s="147"/>
      <c r="J30" s="147"/>
      <c r="K30" s="147"/>
    </row>
    <row r="31" spans="2:11">
      <c r="B31" s="145">
        <v>43281</v>
      </c>
      <c r="D31" s="146">
        <v>0.80640000000000001</v>
      </c>
      <c r="E31" s="147"/>
      <c r="F31" s="147"/>
      <c r="G31" s="147"/>
      <c r="H31" s="146">
        <v>2.7589999999999999</v>
      </c>
      <c r="I31" s="147"/>
      <c r="J31" s="147"/>
      <c r="K31" s="147"/>
    </row>
    <row r="32" spans="2:11">
      <c r="B32" s="145">
        <v>43373</v>
      </c>
      <c r="D32" s="146">
        <v>0.80259999999999998</v>
      </c>
      <c r="E32" s="147"/>
      <c r="F32" s="148">
        <f>ROUND(D32/D28-1,3)</f>
        <v>-1.9E-2</v>
      </c>
      <c r="G32" s="147"/>
      <c r="H32" s="146">
        <v>2.7652000000000001</v>
      </c>
      <c r="I32" s="147"/>
      <c r="J32" s="148">
        <f>ROUND(H32/H28-1,3)</f>
        <v>4.0000000000000001E-3</v>
      </c>
      <c r="K32" s="147"/>
    </row>
    <row r="33" spans="2:11">
      <c r="B33" s="145">
        <v>43465</v>
      </c>
      <c r="D33" s="146">
        <v>0.79879999999999995</v>
      </c>
      <c r="E33" s="147"/>
      <c r="F33" s="147"/>
      <c r="G33" s="147"/>
      <c r="H33" s="146">
        <v>2.7677999999999998</v>
      </c>
      <c r="I33" s="147"/>
      <c r="J33" s="147"/>
      <c r="K33" s="147"/>
    </row>
    <row r="34" spans="2:11">
      <c r="B34" s="145">
        <v>43555</v>
      </c>
      <c r="D34" s="146">
        <v>0.79090000000000005</v>
      </c>
      <c r="E34" s="147"/>
      <c r="F34" s="147"/>
      <c r="G34" s="147"/>
      <c r="H34" s="146">
        <v>2.7608000000000001</v>
      </c>
      <c r="I34" s="147"/>
      <c r="J34" s="147"/>
      <c r="K34" s="147"/>
    </row>
    <row r="35" spans="2:11">
      <c r="B35" s="145">
        <v>43646</v>
      </c>
      <c r="D35" s="146">
        <v>0.77529999999999999</v>
      </c>
      <c r="E35" s="147"/>
      <c r="F35" s="147"/>
      <c r="G35" s="147"/>
      <c r="H35" s="146">
        <v>2.7176999999999998</v>
      </c>
      <c r="I35" s="147"/>
      <c r="J35" s="147"/>
      <c r="K35" s="147"/>
    </row>
    <row r="36" spans="2:11">
      <c r="B36" s="145">
        <v>43738</v>
      </c>
      <c r="D36" s="146">
        <v>0.77410000000000001</v>
      </c>
      <c r="E36" s="147"/>
      <c r="F36" s="148">
        <f>ROUND(D36/D32-1,3)</f>
        <v>-3.5999999999999997E-2</v>
      </c>
      <c r="G36" s="147"/>
      <c r="H36" s="146">
        <v>2.6850999999999998</v>
      </c>
      <c r="I36" s="147"/>
      <c r="J36" s="148">
        <f>ROUND(H36/H32-1,3)</f>
        <v>-2.9000000000000001E-2</v>
      </c>
      <c r="K36" s="147"/>
    </row>
    <row r="40" spans="2:11">
      <c r="C40" s="143" t="s">
        <v>270</v>
      </c>
      <c r="D40" s="143" t="s">
        <v>271</v>
      </c>
    </row>
    <row r="42" spans="2:11">
      <c r="C42" s="143" t="s">
        <v>272</v>
      </c>
      <c r="D42" s="143" t="str">
        <f>"CHANGE BASED ON YEARS ENDING "&amp;TEXT($B$36,"m/dd")&amp;"/XXXX"</f>
        <v>CHANGE BASED ON YEARS ENDING 9/30/XXXX</v>
      </c>
    </row>
    <row r="43" spans="2:11">
      <c r="C43" s="143" t="s">
        <v>269</v>
      </c>
      <c r="D43" s="143" t="str">
        <f>"CHANGE BASED ON YEAR ENDING "&amp;TEXT($B$17,"m/dd/yyyy")&amp;" divided by "&amp;TEXT($B$13,"m/dd/yyyy")</f>
        <v>CHANGE BASED ON YEAR ENDING 12/31/2014 divided by 12/31/2013</v>
      </c>
    </row>
  </sheetData>
  <mergeCells count="4">
    <mergeCell ref="A3:K3"/>
    <mergeCell ref="A4:K4"/>
    <mergeCell ref="A6:K6"/>
    <mergeCell ref="A8:K8"/>
  </mergeCells>
  <pageMargins left="0.7" right="0.7" top="0.75" bottom="0.75" header="0.3" footer="0.3"/>
  <pageSetup scale="83" fitToWidth="0" fitToHeight="0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L57"/>
  <sheetViews>
    <sheetView zoomScaleNormal="100" zoomScaleSheetLayoutView="80" workbookViewId="0"/>
  </sheetViews>
  <sheetFormatPr defaultColWidth="9.1328125" defaultRowHeight="13.9"/>
  <cols>
    <col min="1" max="16384" width="9.1328125" style="140"/>
  </cols>
  <sheetData>
    <row r="1" spans="1:12">
      <c r="A1" s="139" t="s">
        <v>0</v>
      </c>
    </row>
    <row r="3" spans="1:12">
      <c r="A3" s="276" t="s">
        <v>263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2">
      <c r="A5" s="276" t="s">
        <v>274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>
      <c r="A6" s="276" t="s">
        <v>135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</row>
    <row r="26" spans="1:10" ht="17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57" spans="2:2">
      <c r="B57" s="140" t="s">
        <v>265</v>
      </c>
    </row>
  </sheetData>
  <mergeCells count="4">
    <mergeCell ref="A5:L5"/>
    <mergeCell ref="A6:L6"/>
    <mergeCell ref="A3:L3"/>
    <mergeCell ref="A4:L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rowBreaks count="1" manualBreakCount="1">
    <brk id="57" max="11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443-D093-47E6-878E-54FCA8826091}">
  <sheetPr codeName="Sheet21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9.3984375" style="177" bestFit="1" customWidth="1"/>
    <col min="25" max="25" width="9.06640625" style="177"/>
    <col min="26" max="26" width="11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137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137</v>
      </c>
      <c r="W4" s="250"/>
      <c r="X4" s="250"/>
      <c r="Y4" s="250"/>
      <c r="Z4" s="250"/>
      <c r="AA4" s="250"/>
      <c r="AB4" s="250"/>
    </row>
    <row r="5" spans="1:34" ht="13.9">
      <c r="K5" s="250" t="s">
        <v>275</v>
      </c>
      <c r="L5" s="250"/>
      <c r="M5" s="250"/>
      <c r="N5" s="250"/>
      <c r="O5" s="250"/>
      <c r="P5" s="250"/>
      <c r="Q5" s="250"/>
      <c r="R5" s="250"/>
      <c r="S5" s="250"/>
      <c r="T5" s="250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X8" s="176" t="s">
        <v>139</v>
      </c>
      <c r="Z8" s="183" t="s">
        <v>140</v>
      </c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X9" s="150">
        <v>5076.4399999999996</v>
      </c>
      <c r="Z9" s="150">
        <v>7532.05</v>
      </c>
      <c r="AB9" s="150">
        <v>8707.1200000000008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X10" s="150">
        <v>5272.49</v>
      </c>
      <c r="Z10" s="150">
        <v>7709.49</v>
      </c>
      <c r="AB10" s="150">
        <v>8947.2999999999993</v>
      </c>
      <c r="AD10" s="124"/>
      <c r="AF10" s="124"/>
      <c r="AH10" s="124"/>
    </row>
    <row r="11" spans="1:34" ht="13.9">
      <c r="A11" s="69">
        <v>42185</v>
      </c>
      <c r="C11" s="150">
        <v>1.37</v>
      </c>
      <c r="F11" s="150">
        <v>0.89</v>
      </c>
      <c r="I11" s="150">
        <v>0.67</v>
      </c>
      <c r="V11" s="69">
        <f t="shared" si="0"/>
        <v>42551</v>
      </c>
      <c r="X11" s="150">
        <v>5450.55</v>
      </c>
      <c r="Z11" s="150">
        <v>8009.62</v>
      </c>
      <c r="AB11" s="150">
        <v>9306.67</v>
      </c>
      <c r="AD11" s="124"/>
      <c r="AF11" s="124"/>
      <c r="AH11" s="124"/>
    </row>
    <row r="12" spans="1:34" ht="13.9">
      <c r="A12" s="69">
        <v>42369</v>
      </c>
      <c r="C12" s="150">
        <v>1.36</v>
      </c>
      <c r="F12" s="150">
        <v>0.89</v>
      </c>
      <c r="I12" s="150">
        <v>0.68</v>
      </c>
      <c r="V12" s="69">
        <f t="shared" si="0"/>
        <v>42735</v>
      </c>
      <c r="X12" s="150">
        <v>5483.8</v>
      </c>
      <c r="Z12" s="150">
        <v>8268.0400000000009</v>
      </c>
      <c r="AB12" s="150">
        <v>9605.98</v>
      </c>
      <c r="AD12" s="124"/>
      <c r="AF12" s="124"/>
      <c r="AH12" s="124"/>
    </row>
    <row r="13" spans="1:34" ht="13.9">
      <c r="A13" s="69">
        <v>42551</v>
      </c>
      <c r="C13" s="150">
        <v>1.35</v>
      </c>
      <c r="F13" s="150">
        <v>0.91</v>
      </c>
      <c r="I13" s="150">
        <v>0.69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X13" s="150">
        <v>5787.28</v>
      </c>
      <c r="Z13" s="150">
        <v>8569.4</v>
      </c>
      <c r="AB13" s="150">
        <v>9872.92</v>
      </c>
      <c r="AD13" s="124"/>
      <c r="AF13" s="124"/>
      <c r="AH13" s="124"/>
    </row>
    <row r="14" spans="1:34" ht="13.9">
      <c r="A14" s="69">
        <v>42735</v>
      </c>
      <c r="C14" s="150">
        <v>1.35</v>
      </c>
      <c r="D14" s="71">
        <f>C14/C12-1</f>
        <v>-7.3529411764705621E-3</v>
      </c>
      <c r="F14" s="150">
        <v>0.89</v>
      </c>
      <c r="G14" s="71">
        <f>F14/F12-1</f>
        <v>0</v>
      </c>
      <c r="I14" s="150">
        <v>0.67</v>
      </c>
      <c r="J14" s="71">
        <f>I14/I12-1</f>
        <v>-1.4705882352941235E-2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X14" s="150">
        <v>6235.36</v>
      </c>
      <c r="Z14" s="150">
        <v>8995.3700000000008</v>
      </c>
      <c r="AB14" s="150">
        <v>10248.73</v>
      </c>
      <c r="AD14" s="124"/>
      <c r="AF14" s="124"/>
      <c r="AH14" s="124"/>
    </row>
    <row r="15" spans="1:34" ht="13.9">
      <c r="A15" s="69">
        <v>42916</v>
      </c>
      <c r="C15" s="150">
        <v>1.34</v>
      </c>
      <c r="D15" s="71"/>
      <c r="F15" s="150">
        <v>0.88</v>
      </c>
      <c r="G15" s="71"/>
      <c r="I15" s="150">
        <v>0.67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X15" s="150">
        <v>6324.83</v>
      </c>
      <c r="Z15" s="150">
        <v>9271.77</v>
      </c>
      <c r="AB15" s="150">
        <v>10648.45</v>
      </c>
      <c r="AD15" s="124"/>
      <c r="AF15" s="124"/>
      <c r="AH15" s="124"/>
    </row>
    <row r="16" spans="1:34" ht="13.9">
      <c r="A16" s="69">
        <v>43100</v>
      </c>
      <c r="C16" s="150">
        <v>1.37</v>
      </c>
      <c r="D16" s="71">
        <f>C16/C14-1</f>
        <v>1.4814814814814836E-2</v>
      </c>
      <c r="F16" s="150">
        <v>0.9</v>
      </c>
      <c r="G16" s="71">
        <f>F16/F14-1</f>
        <v>1.1235955056179803E-2</v>
      </c>
      <c r="I16" s="150">
        <v>0.7</v>
      </c>
      <c r="J16" s="71">
        <f>I16/I14-1</f>
        <v>4.4776119402984982E-2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X16" s="150">
        <v>6359.33</v>
      </c>
      <c r="Z16" s="150">
        <v>9412.1200000000008</v>
      </c>
      <c r="AB16" s="150">
        <v>10973.58</v>
      </c>
      <c r="AD16" s="124"/>
      <c r="AF16" s="124"/>
      <c r="AH16" s="124"/>
    </row>
    <row r="17" spans="1:34" ht="13.9">
      <c r="A17" s="69">
        <v>43281</v>
      </c>
      <c r="C17" s="150">
        <v>1.44</v>
      </c>
      <c r="D17" s="71"/>
      <c r="F17" s="150">
        <v>0.94</v>
      </c>
      <c r="G17" s="71"/>
      <c r="I17" s="150">
        <v>0.71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X17" s="150">
        <v>6401.47</v>
      </c>
      <c r="Z17" s="150">
        <v>9633.34</v>
      </c>
      <c r="AB17" s="150">
        <v>11435.65</v>
      </c>
      <c r="AD17" s="124"/>
      <c r="AF17" s="124"/>
      <c r="AH17" s="124"/>
    </row>
    <row r="18" spans="1:34" ht="13.9">
      <c r="A18" s="69">
        <v>43465</v>
      </c>
      <c r="C18" s="150">
        <v>1.51</v>
      </c>
      <c r="D18" s="71">
        <f>C18/C16-1</f>
        <v>0.10218978102189769</v>
      </c>
      <c r="F18" s="150">
        <v>0.96</v>
      </c>
      <c r="G18" s="71">
        <f>F18/F16-1</f>
        <v>6.6666666666666652E-2</v>
      </c>
      <c r="I18" s="150">
        <v>0.73</v>
      </c>
      <c r="J18" s="71">
        <f>I18/I16-1</f>
        <v>4.2857142857142927E-2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X18" s="150">
        <v>6538.78</v>
      </c>
      <c r="Z18" s="150">
        <v>10155.969999999999</v>
      </c>
      <c r="AB18" s="150">
        <v>12095.88</v>
      </c>
      <c r="AD18" s="124"/>
      <c r="AF18" s="124"/>
      <c r="AH18" s="124"/>
    </row>
    <row r="19" spans="1:34" ht="13.9">
      <c r="A19" s="69">
        <v>43646</v>
      </c>
      <c r="C19" s="150">
        <v>1.56</v>
      </c>
      <c r="D19" s="71"/>
      <c r="F19" s="150">
        <v>0.99</v>
      </c>
      <c r="G19" s="71"/>
      <c r="I19" s="150">
        <v>0.74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X19" s="71"/>
      <c r="Z19" s="71"/>
      <c r="AB19" s="70"/>
    </row>
    <row r="20" spans="1:34" ht="13.9">
      <c r="A20" s="69">
        <v>43830</v>
      </c>
      <c r="C20" s="150">
        <v>1.57</v>
      </c>
      <c r="D20" s="71">
        <f>C20/C18-1</f>
        <v>3.9735099337748325E-2</v>
      </c>
      <c r="F20" s="150">
        <v>0.98</v>
      </c>
      <c r="G20" s="71">
        <f>F20/F18-1</f>
        <v>2.0833333333333259E-2</v>
      </c>
      <c r="I20" s="150">
        <v>0.73</v>
      </c>
      <c r="J20" s="71">
        <f>I20/I18-1</f>
        <v>0</v>
      </c>
      <c r="X20" s="71"/>
      <c r="Z20" s="71"/>
      <c r="AB20" s="70"/>
    </row>
    <row r="21" spans="1:34" ht="13.9">
      <c r="A21" s="69"/>
      <c r="G21" s="71"/>
      <c r="V21" s="69"/>
      <c r="Z21" s="71"/>
    </row>
    <row r="23" spans="1:34" ht="13.9">
      <c r="A23" s="68" t="s">
        <v>144</v>
      </c>
      <c r="V23" s="68" t="s">
        <v>150</v>
      </c>
    </row>
    <row r="25" spans="1:34" ht="13.9">
      <c r="D25" s="176" t="s">
        <v>145</v>
      </c>
      <c r="G25" s="176" t="s">
        <v>146</v>
      </c>
      <c r="V25" s="176" t="s">
        <v>151</v>
      </c>
      <c r="X25" s="137">
        <v>6.0999999999999999E-2</v>
      </c>
      <c r="Z25" s="137">
        <v>6.8000000000000005E-2</v>
      </c>
      <c r="AB25" s="137">
        <v>7.2999999999999995E-2</v>
      </c>
    </row>
    <row r="26" spans="1:34" ht="13.9">
      <c r="D26" s="176" t="s">
        <v>147</v>
      </c>
      <c r="G26" s="178">
        <v>4.0000000000000001E-3</v>
      </c>
      <c r="V26" s="176" t="s">
        <v>152</v>
      </c>
      <c r="X26" s="137">
        <v>5.7000000000000002E-2</v>
      </c>
      <c r="Z26" s="137">
        <v>6.7000000000000004E-2</v>
      </c>
      <c r="AB26" s="137">
        <v>7.5999999999999998E-2</v>
      </c>
    </row>
    <row r="27" spans="1:34" ht="13.9">
      <c r="D27" s="73">
        <v>50</v>
      </c>
      <c r="G27" s="178">
        <v>5.0000000000000001E-3</v>
      </c>
      <c r="V27" s="176" t="s">
        <v>153</v>
      </c>
      <c r="X27" s="137">
        <v>0.04</v>
      </c>
      <c r="Z27" s="137">
        <v>6.3E-2</v>
      </c>
      <c r="AB27" s="137">
        <v>8.2000000000000003E-2</v>
      </c>
    </row>
    <row r="28" spans="1:34" ht="13.9">
      <c r="D28" s="73">
        <v>100</v>
      </c>
      <c r="G28" s="178">
        <v>0.02</v>
      </c>
      <c r="X28" s="73"/>
    </row>
    <row r="29" spans="1:34" ht="13.9">
      <c r="D29" s="73">
        <v>200</v>
      </c>
      <c r="G29" s="178">
        <v>1E-3</v>
      </c>
      <c r="X29" s="73"/>
    </row>
    <row r="30" spans="1:34" ht="13.9">
      <c r="D30" s="73">
        <v>250</v>
      </c>
      <c r="G30" s="178">
        <v>7.9000000000000001E-2</v>
      </c>
      <c r="V30" s="68" t="s">
        <v>154</v>
      </c>
      <c r="X30" s="137">
        <v>6.5000000000000002E-2</v>
      </c>
      <c r="Y30" s="71"/>
    </row>
    <row r="31" spans="1:34" ht="13.9">
      <c r="D31" s="73">
        <v>500</v>
      </c>
      <c r="G31" s="178">
        <v>0.30399999999999999</v>
      </c>
      <c r="V31" s="68" t="s">
        <v>155</v>
      </c>
      <c r="X31" s="137">
        <v>0</v>
      </c>
      <c r="Y31" s="71"/>
    </row>
    <row r="32" spans="1:34" ht="13.9">
      <c r="D32" s="73">
        <v>1000</v>
      </c>
      <c r="G32" s="178">
        <v>0.48899999999999999</v>
      </c>
      <c r="V32" s="68" t="s">
        <v>156</v>
      </c>
      <c r="X32" s="137">
        <v>6.5000000000000002E-2</v>
      </c>
      <c r="Y32" s="71"/>
    </row>
    <row r="33" spans="1:24" ht="13.9">
      <c r="D33" s="73">
        <v>2000</v>
      </c>
      <c r="G33" s="178">
        <v>0.06</v>
      </c>
      <c r="X33" s="73"/>
    </row>
    <row r="34" spans="1:24" ht="13.9">
      <c r="D34" s="73">
        <v>3000</v>
      </c>
      <c r="G34" s="178">
        <v>1.2999999999999999E-2</v>
      </c>
    </row>
    <row r="35" spans="1:24" ht="13.9">
      <c r="D35" s="73">
        <v>5000</v>
      </c>
      <c r="G35" s="178">
        <v>2.5000000000000001E-2</v>
      </c>
    </row>
    <row r="36" spans="1:24" ht="13.9">
      <c r="V36" s="68" t="s">
        <v>148</v>
      </c>
    </row>
    <row r="38" spans="1:24" ht="13.9">
      <c r="A38" s="68" t="s">
        <v>148</v>
      </c>
      <c r="B38" s="125"/>
      <c r="C38" s="125"/>
      <c r="D38" s="125"/>
      <c r="E38" s="125"/>
      <c r="F38" s="125"/>
      <c r="G38" s="125"/>
      <c r="H38" s="125"/>
      <c r="I38" s="125"/>
    </row>
    <row r="39" spans="1:24" ht="13.9">
      <c r="A39" s="68" t="str">
        <f>"** Change based on years ending "&amp;TEXT($A$20,"mm/dd")&amp;"/xxxx"</f>
        <v>** Change based on years ending 12/31/xxxx</v>
      </c>
      <c r="B39" s="125"/>
      <c r="C39" s="125"/>
      <c r="D39" s="125"/>
      <c r="E39" s="125"/>
      <c r="F39" s="125"/>
      <c r="G39" s="125"/>
      <c r="H39" s="125"/>
      <c r="I39" s="125"/>
    </row>
    <row r="40" spans="1:24" ht="13.9">
      <c r="A40" s="68" t="str">
        <f>"*** Deductibles above $2,000, totaling "&amp;TEXT(SUM(G34:G35),"0.0%")&amp;" of losses, are excluded from the trend calculations."</f>
        <v>*** Deductibles above $2,000, totaling 3.8% of losses, are excluded from the trend calculations.</v>
      </c>
      <c r="B40" s="125"/>
      <c r="C40" s="125"/>
      <c r="D40" s="125"/>
      <c r="H40" s="125"/>
      <c r="I40" s="125"/>
    </row>
    <row r="41" spans="1:24" ht="13.9">
      <c r="A41" s="68"/>
      <c r="B41" s="125"/>
      <c r="C41" s="125"/>
      <c r="D41" s="125"/>
      <c r="E41" s="125"/>
      <c r="F41" s="125"/>
      <c r="G41" s="125"/>
      <c r="H41" s="125"/>
      <c r="I41" s="125"/>
    </row>
    <row r="47" spans="1:24" ht="13.9">
      <c r="L47" s="68" t="s">
        <v>265</v>
      </c>
    </row>
    <row r="48" spans="1:24" ht="13.9">
      <c r="L48" s="68" t="s">
        <v>276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9E82-DDE2-4C33-8A40-8FB0DC505699}">
  <sheetPr codeName="Sheet22"/>
  <dimension ref="A1:AH48"/>
  <sheetViews>
    <sheetView zoomScaleNormal="100" zoomScaleSheetLayoutView="100" workbookViewId="0"/>
  </sheetViews>
  <sheetFormatPr defaultRowHeight="12.75"/>
  <cols>
    <col min="1" max="1" width="10.3984375" style="177" customWidth="1"/>
    <col min="2" max="2" width="5.73046875" style="177" customWidth="1"/>
    <col min="3" max="21" width="9.06640625" style="177"/>
    <col min="22" max="22" width="10.59765625" style="177" customWidth="1"/>
    <col min="23" max="23" width="16.1328125" style="177" customWidth="1"/>
    <col min="24" max="24" width="10.86328125" style="177" customWidth="1"/>
    <col min="25" max="25" width="9.06640625" style="177"/>
    <col min="26" max="26" width="10.86328125" style="177" customWidth="1"/>
    <col min="27" max="27" width="9.06640625" style="177"/>
    <col min="28" max="28" width="11" style="177" customWidth="1"/>
    <col min="29" max="16384" width="9.06640625" style="177"/>
  </cols>
  <sheetData>
    <row r="1" spans="1:34" ht="13.9">
      <c r="A1" s="55" t="s">
        <v>0</v>
      </c>
      <c r="K1" s="55" t="s">
        <v>0</v>
      </c>
      <c r="L1" s="176"/>
      <c r="M1" s="176"/>
      <c r="N1" s="176"/>
      <c r="O1" s="176"/>
      <c r="P1" s="176"/>
      <c r="Q1" s="176"/>
      <c r="R1" s="176"/>
      <c r="S1" s="176"/>
      <c r="T1" s="176"/>
      <c r="U1" s="55" t="s">
        <v>0</v>
      </c>
    </row>
    <row r="2" spans="1:34" ht="13.9">
      <c r="A2" s="250" t="s">
        <v>135</v>
      </c>
      <c r="B2" s="250"/>
      <c r="C2" s="250"/>
      <c r="D2" s="250"/>
      <c r="E2" s="250"/>
      <c r="F2" s="250"/>
      <c r="G2" s="250"/>
      <c r="H2" s="250"/>
      <c r="I2" s="250"/>
      <c r="J2" s="250"/>
      <c r="K2" s="176"/>
      <c r="L2" s="176"/>
      <c r="M2" s="176"/>
      <c r="N2" s="176"/>
      <c r="O2" s="176"/>
      <c r="P2" s="176"/>
      <c r="Q2" s="176"/>
      <c r="R2" s="176"/>
      <c r="S2" s="176"/>
      <c r="T2" s="176"/>
      <c r="V2" s="250" t="s">
        <v>135</v>
      </c>
      <c r="W2" s="250"/>
      <c r="X2" s="250"/>
      <c r="Y2" s="250"/>
      <c r="Z2" s="250"/>
      <c r="AA2" s="250"/>
      <c r="AB2" s="250"/>
    </row>
    <row r="3" spans="1:34" ht="13.9">
      <c r="A3" s="250" t="s">
        <v>136</v>
      </c>
      <c r="B3" s="250"/>
      <c r="C3" s="250"/>
      <c r="D3" s="250"/>
      <c r="E3" s="250"/>
      <c r="F3" s="250"/>
      <c r="G3" s="250"/>
      <c r="H3" s="250"/>
      <c r="I3" s="250"/>
      <c r="J3" s="250"/>
      <c r="K3" s="250" t="s">
        <v>295</v>
      </c>
      <c r="L3" s="250"/>
      <c r="M3" s="250"/>
      <c r="N3" s="250"/>
      <c r="O3" s="250"/>
      <c r="P3" s="250"/>
      <c r="Q3" s="250"/>
      <c r="R3" s="250"/>
      <c r="S3" s="250"/>
      <c r="T3" s="250"/>
      <c r="V3" s="250" t="s">
        <v>136</v>
      </c>
      <c r="W3" s="250"/>
      <c r="X3" s="250"/>
      <c r="Y3" s="250"/>
      <c r="Z3" s="250"/>
      <c r="AA3" s="250"/>
      <c r="AB3" s="250"/>
    </row>
    <row r="4" spans="1:34" ht="13.9">
      <c r="A4" s="250" t="s">
        <v>157</v>
      </c>
      <c r="B4" s="250"/>
      <c r="C4" s="250"/>
      <c r="D4" s="250"/>
      <c r="E4" s="250"/>
      <c r="F4" s="250"/>
      <c r="G4" s="250"/>
      <c r="H4" s="250"/>
      <c r="I4" s="250"/>
      <c r="J4" s="250"/>
      <c r="K4" s="250" t="s">
        <v>136</v>
      </c>
      <c r="L4" s="250"/>
      <c r="M4" s="250"/>
      <c r="N4" s="250"/>
      <c r="O4" s="250"/>
      <c r="P4" s="250"/>
      <c r="Q4" s="250"/>
      <c r="R4" s="250"/>
      <c r="S4" s="250"/>
      <c r="T4" s="250"/>
      <c r="V4" s="250" t="s">
        <v>157</v>
      </c>
      <c r="W4" s="250"/>
      <c r="X4" s="250"/>
      <c r="Y4" s="250"/>
      <c r="Z4" s="250"/>
      <c r="AA4" s="250"/>
      <c r="AB4" s="250"/>
    </row>
    <row r="5" spans="1:34" ht="13.9">
      <c r="K5" s="250" t="s">
        <v>277</v>
      </c>
      <c r="L5" s="250"/>
      <c r="M5" s="250"/>
      <c r="N5" s="250"/>
      <c r="O5" s="250"/>
      <c r="P5" s="250"/>
      <c r="Q5" s="250"/>
      <c r="R5" s="250"/>
      <c r="S5" s="250"/>
      <c r="T5" s="250"/>
      <c r="V5" s="68"/>
      <c r="W5" s="68"/>
      <c r="X5" s="68"/>
      <c r="Y5" s="68"/>
      <c r="Z5" s="68"/>
      <c r="AA5" s="68"/>
      <c r="AB5" s="68"/>
    </row>
    <row r="6" spans="1:34" ht="13.9">
      <c r="A6" s="250" t="s">
        <v>138</v>
      </c>
      <c r="B6" s="250"/>
      <c r="C6" s="250"/>
      <c r="D6" s="250"/>
      <c r="E6" s="250"/>
      <c r="F6" s="250"/>
      <c r="G6" s="250"/>
      <c r="H6" s="250"/>
      <c r="I6" s="250"/>
      <c r="J6" s="250"/>
      <c r="K6" s="250" t="s">
        <v>135</v>
      </c>
      <c r="L6" s="250"/>
      <c r="M6" s="250"/>
      <c r="N6" s="250"/>
      <c r="O6" s="250"/>
      <c r="P6" s="250"/>
      <c r="Q6" s="250"/>
      <c r="R6" s="250"/>
      <c r="S6" s="250"/>
      <c r="T6" s="250"/>
      <c r="V6" s="250" t="s">
        <v>149</v>
      </c>
      <c r="W6" s="250"/>
      <c r="X6" s="250"/>
      <c r="Y6" s="250"/>
      <c r="Z6" s="250"/>
      <c r="AA6" s="250"/>
      <c r="AB6" s="250"/>
    </row>
    <row r="7" spans="1:34" ht="13.9">
      <c r="V7" s="68"/>
      <c r="W7" s="68"/>
      <c r="X7" s="68"/>
      <c r="Y7" s="68"/>
      <c r="Z7" s="68"/>
      <c r="AA7" s="68"/>
      <c r="AB7" s="68"/>
    </row>
    <row r="8" spans="1:34" ht="13.9">
      <c r="C8" s="250" t="s">
        <v>139</v>
      </c>
      <c r="D8" s="250"/>
      <c r="F8" s="250" t="s">
        <v>140</v>
      </c>
      <c r="G8" s="250"/>
      <c r="I8" s="250" t="s">
        <v>158</v>
      </c>
      <c r="J8" s="250"/>
      <c r="V8" s="68" t="s">
        <v>141</v>
      </c>
      <c r="W8" s="68"/>
      <c r="X8" s="176" t="s">
        <v>139</v>
      </c>
      <c r="Y8" s="68"/>
      <c r="Z8" s="183" t="s">
        <v>140</v>
      </c>
      <c r="AA8" s="68"/>
      <c r="AB8" s="183" t="s">
        <v>158</v>
      </c>
    </row>
    <row r="9" spans="1:34" ht="13.9">
      <c r="K9" s="68"/>
      <c r="L9" s="68"/>
      <c r="M9" s="68"/>
      <c r="N9" s="68"/>
      <c r="O9" s="68"/>
      <c r="P9" s="68"/>
      <c r="Q9" s="68"/>
      <c r="R9" s="68"/>
      <c r="S9" s="68"/>
      <c r="T9" s="68"/>
      <c r="V9" s="69">
        <f t="shared" ref="V9:V18" si="0">A11</f>
        <v>42185</v>
      </c>
      <c r="W9" s="68"/>
      <c r="X9" s="151">
        <v>8862.2999999999993</v>
      </c>
      <c r="Y9" s="76"/>
      <c r="Z9" s="151">
        <v>10564.77</v>
      </c>
      <c r="AA9" s="76"/>
      <c r="AB9" s="151">
        <v>11518.43</v>
      </c>
      <c r="AD9" s="124"/>
      <c r="AF9" s="124"/>
      <c r="AH9" s="124"/>
    </row>
    <row r="10" spans="1:34" ht="13.9">
      <c r="A10" s="68" t="s">
        <v>141</v>
      </c>
      <c r="C10" s="68" t="s">
        <v>142</v>
      </c>
      <c r="D10" s="68" t="s">
        <v>143</v>
      </c>
      <c r="F10" s="68" t="s">
        <v>142</v>
      </c>
      <c r="G10" s="68" t="s">
        <v>143</v>
      </c>
      <c r="I10" s="68" t="s">
        <v>142</v>
      </c>
      <c r="J10" s="68" t="s">
        <v>143</v>
      </c>
      <c r="V10" s="69">
        <f t="shared" si="0"/>
        <v>42369</v>
      </c>
      <c r="W10" s="68"/>
      <c r="X10" s="151">
        <v>9057.5</v>
      </c>
      <c r="Y10" s="76"/>
      <c r="Z10" s="151">
        <v>10765.23</v>
      </c>
      <c r="AA10" s="76"/>
      <c r="AB10" s="151">
        <v>11717.35</v>
      </c>
      <c r="AD10" s="124"/>
      <c r="AF10" s="124"/>
      <c r="AH10" s="124"/>
    </row>
    <row r="11" spans="1:34" ht="13.9">
      <c r="A11" s="69">
        <f>'EXHIBIT C6'!A11</f>
        <v>42185</v>
      </c>
      <c r="C11" s="150">
        <v>2.2000000000000002</v>
      </c>
      <c r="F11" s="150">
        <v>1.92</v>
      </c>
      <c r="I11" s="150">
        <v>1.56</v>
      </c>
      <c r="V11" s="69">
        <f t="shared" si="0"/>
        <v>42551</v>
      </c>
      <c r="W11" s="68"/>
      <c r="X11" s="151">
        <v>9361.6</v>
      </c>
      <c r="Y11" s="76"/>
      <c r="Z11" s="151">
        <v>11038.3</v>
      </c>
      <c r="AA11" s="76"/>
      <c r="AB11" s="151">
        <v>12015.56</v>
      </c>
      <c r="AD11" s="124"/>
      <c r="AF11" s="124"/>
      <c r="AH11" s="124"/>
    </row>
    <row r="12" spans="1:34" ht="13.9">
      <c r="A12" s="69">
        <f>'EXHIBIT C6'!A12</f>
        <v>42369</v>
      </c>
      <c r="C12" s="150">
        <v>2.2000000000000002</v>
      </c>
      <c r="F12" s="150">
        <v>1.94</v>
      </c>
      <c r="I12" s="150">
        <v>1.58</v>
      </c>
      <c r="V12" s="69">
        <f t="shared" si="0"/>
        <v>42735</v>
      </c>
      <c r="W12" s="68"/>
      <c r="X12" s="151">
        <v>9478.76</v>
      </c>
      <c r="Y12" s="76"/>
      <c r="Z12" s="151">
        <v>11244.83</v>
      </c>
      <c r="AA12" s="76"/>
      <c r="AB12" s="151">
        <v>12263.51</v>
      </c>
      <c r="AD12" s="124"/>
      <c r="AF12" s="124"/>
      <c r="AH12" s="124"/>
    </row>
    <row r="13" spans="1:34" ht="13.9">
      <c r="A13" s="69">
        <f>'EXHIBIT C6'!A13</f>
        <v>42551</v>
      </c>
      <c r="C13" s="150">
        <v>2.19</v>
      </c>
      <c r="F13" s="150">
        <v>1.94</v>
      </c>
      <c r="I13" s="150">
        <v>1.59</v>
      </c>
      <c r="K13" s="71"/>
      <c r="L13" s="71"/>
      <c r="M13" s="71"/>
      <c r="N13" s="71"/>
      <c r="O13" s="71"/>
      <c r="P13" s="71"/>
      <c r="Q13" s="71"/>
      <c r="R13" s="71"/>
      <c r="S13" s="71"/>
      <c r="T13" s="71"/>
      <c r="V13" s="69">
        <f t="shared" si="0"/>
        <v>42916</v>
      </c>
      <c r="W13" s="68"/>
      <c r="X13" s="151">
        <v>9512.51</v>
      </c>
      <c r="Y13" s="76"/>
      <c r="Z13" s="151">
        <v>11241.6</v>
      </c>
      <c r="AA13" s="76"/>
      <c r="AB13" s="151">
        <v>12242.09</v>
      </c>
      <c r="AD13" s="124"/>
      <c r="AF13" s="124"/>
      <c r="AH13" s="124"/>
    </row>
    <row r="14" spans="1:34" ht="13.9">
      <c r="A14" s="69">
        <f>'EXHIBIT C6'!A14</f>
        <v>42735</v>
      </c>
      <c r="C14" s="150">
        <v>2.27</v>
      </c>
      <c r="D14" s="71">
        <f>C14/C12-1</f>
        <v>3.1818181818181746E-2</v>
      </c>
      <c r="F14" s="150">
        <v>2.0099999999999998</v>
      </c>
      <c r="G14" s="71">
        <f>F14/F12-1</f>
        <v>3.6082474226803996E-2</v>
      </c>
      <c r="I14" s="150">
        <v>1.64</v>
      </c>
      <c r="J14" s="71">
        <f>I14/I12-1</f>
        <v>3.7974683544303778E-2</v>
      </c>
      <c r="K14" s="71"/>
      <c r="L14" s="71"/>
      <c r="M14" s="71"/>
      <c r="N14" s="71"/>
      <c r="O14" s="71"/>
      <c r="P14" s="71"/>
      <c r="Q14" s="71"/>
      <c r="R14" s="71"/>
      <c r="S14" s="71"/>
      <c r="T14" s="71"/>
      <c r="V14" s="69">
        <f t="shared" si="0"/>
        <v>43100</v>
      </c>
      <c r="W14" s="68"/>
      <c r="X14" s="151">
        <v>9772.52</v>
      </c>
      <c r="Y14" s="76"/>
      <c r="Z14" s="151">
        <v>11363.42</v>
      </c>
      <c r="AA14" s="76"/>
      <c r="AB14" s="151">
        <v>12369.71</v>
      </c>
      <c r="AD14" s="124"/>
      <c r="AF14" s="124"/>
      <c r="AH14" s="124"/>
    </row>
    <row r="15" spans="1:34" ht="13.9">
      <c r="A15" s="69">
        <f>'EXHIBIT C6'!A15</f>
        <v>42916</v>
      </c>
      <c r="C15" s="150">
        <v>2.29</v>
      </c>
      <c r="D15" s="71"/>
      <c r="F15" s="150">
        <v>2</v>
      </c>
      <c r="G15" s="71"/>
      <c r="I15" s="150">
        <v>1.63</v>
      </c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V15" s="69">
        <f t="shared" si="0"/>
        <v>43281</v>
      </c>
      <c r="W15" s="68"/>
      <c r="X15" s="151">
        <v>9970.83</v>
      </c>
      <c r="Y15" s="76"/>
      <c r="Z15" s="151">
        <v>11632.86</v>
      </c>
      <c r="AA15" s="76"/>
      <c r="AB15" s="151">
        <v>12696.43</v>
      </c>
      <c r="AD15" s="124"/>
      <c r="AF15" s="124"/>
      <c r="AH15" s="124"/>
    </row>
    <row r="16" spans="1:34" ht="13.9">
      <c r="A16" s="69">
        <f>'EXHIBIT C6'!A16</f>
        <v>43100</v>
      </c>
      <c r="C16" s="150">
        <v>2.23</v>
      </c>
      <c r="D16" s="71">
        <f>C16/C14-1</f>
        <v>-1.7621145374449365E-2</v>
      </c>
      <c r="F16" s="150">
        <v>1.95</v>
      </c>
      <c r="G16" s="71">
        <f>F16/F14-1</f>
        <v>-2.9850746268656581E-2</v>
      </c>
      <c r="I16" s="150">
        <v>1.61</v>
      </c>
      <c r="J16" s="71">
        <f>I16/I14-1</f>
        <v>-1.8292682926829174E-2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V16" s="69">
        <f t="shared" si="0"/>
        <v>43465</v>
      </c>
      <c r="W16" s="68"/>
      <c r="X16" s="151">
        <v>10215.67</v>
      </c>
      <c r="Y16" s="76"/>
      <c r="Z16" s="151">
        <v>11882.15</v>
      </c>
      <c r="AA16" s="76"/>
      <c r="AB16" s="151">
        <v>12917.15</v>
      </c>
      <c r="AD16" s="124"/>
      <c r="AF16" s="124"/>
      <c r="AH16" s="124"/>
    </row>
    <row r="17" spans="1:34" ht="13.9">
      <c r="A17" s="69">
        <f>'EXHIBIT C6'!A17</f>
        <v>43281</v>
      </c>
      <c r="C17" s="150">
        <v>2.25</v>
      </c>
      <c r="D17" s="71"/>
      <c r="F17" s="150">
        <v>2</v>
      </c>
      <c r="G17" s="71"/>
      <c r="I17" s="150">
        <v>1.65</v>
      </c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V17" s="69">
        <f t="shared" si="0"/>
        <v>43646</v>
      </c>
      <c r="W17" s="68"/>
      <c r="X17" s="151">
        <v>10552</v>
      </c>
      <c r="Y17" s="76"/>
      <c r="Z17" s="151">
        <v>12242.16</v>
      </c>
      <c r="AA17" s="76"/>
      <c r="AB17" s="151">
        <v>13342.68</v>
      </c>
      <c r="AD17" s="124"/>
      <c r="AF17" s="124"/>
      <c r="AH17" s="124"/>
    </row>
    <row r="18" spans="1:34" ht="13.9">
      <c r="A18" s="69">
        <f>'EXHIBIT C6'!A18</f>
        <v>43465</v>
      </c>
      <c r="C18" s="150">
        <v>2.27</v>
      </c>
      <c r="D18" s="71">
        <f>C18/C16-1</f>
        <v>1.7937219730941756E-2</v>
      </c>
      <c r="F18" s="150">
        <v>2.02</v>
      </c>
      <c r="G18" s="71">
        <f>F18/F16-1</f>
        <v>3.5897435897435992E-2</v>
      </c>
      <c r="I18" s="150">
        <v>1.67</v>
      </c>
      <c r="J18" s="71">
        <f>I18/I16-1</f>
        <v>3.7267080745341463E-2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9">
        <f t="shared" si="0"/>
        <v>43830</v>
      </c>
      <c r="W18" s="68"/>
      <c r="X18" s="151">
        <v>10786.27</v>
      </c>
      <c r="Y18" s="76"/>
      <c r="Z18" s="151">
        <v>12498.53</v>
      </c>
      <c r="AA18" s="76"/>
      <c r="AB18" s="151">
        <v>13579.19</v>
      </c>
      <c r="AD18" s="124"/>
      <c r="AF18" s="124"/>
      <c r="AH18" s="124"/>
    </row>
    <row r="19" spans="1:34" ht="13.9">
      <c r="A19" s="69">
        <f>'EXHIBIT C6'!A19</f>
        <v>43646</v>
      </c>
      <c r="C19" s="150">
        <v>2.27</v>
      </c>
      <c r="D19" s="71"/>
      <c r="F19" s="150">
        <v>2.02</v>
      </c>
      <c r="G19" s="71"/>
      <c r="I19" s="150">
        <v>1.66</v>
      </c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68"/>
      <c r="W19" s="68"/>
      <c r="X19" s="71"/>
      <c r="Y19" s="68"/>
      <c r="Z19" s="71"/>
      <c r="AA19" s="68"/>
      <c r="AB19" s="70"/>
    </row>
    <row r="20" spans="1:34" ht="13.9">
      <c r="A20" s="69">
        <f>'EXHIBIT C6'!A20</f>
        <v>43830</v>
      </c>
      <c r="C20" s="150">
        <v>2.2400000000000002</v>
      </c>
      <c r="D20" s="71">
        <f>C20/C18-1</f>
        <v>-1.3215859030836885E-2</v>
      </c>
      <c r="F20" s="150">
        <v>2</v>
      </c>
      <c r="G20" s="71">
        <f>F20/F18-1</f>
        <v>-9.9009900990099098E-3</v>
      </c>
      <c r="I20" s="150">
        <v>1.66</v>
      </c>
      <c r="J20" s="71">
        <f>I20/I18-1</f>
        <v>-5.9880239520958556E-3</v>
      </c>
      <c r="V20" s="68"/>
      <c r="W20" s="68"/>
      <c r="X20" s="71"/>
      <c r="Y20" s="68"/>
      <c r="Z20" s="71"/>
      <c r="AA20" s="68"/>
      <c r="AB20" s="70"/>
    </row>
    <row r="21" spans="1:34" ht="13.9">
      <c r="A21" s="69"/>
      <c r="G21" s="71"/>
      <c r="V21" s="69"/>
      <c r="W21" s="68"/>
      <c r="X21" s="68"/>
      <c r="Y21" s="68"/>
      <c r="Z21" s="71"/>
      <c r="AA21" s="68"/>
      <c r="AB21" s="68"/>
    </row>
    <row r="22" spans="1:34" ht="13.9">
      <c r="V22" s="68"/>
      <c r="W22" s="68"/>
      <c r="X22" s="68"/>
      <c r="Y22" s="68"/>
      <c r="Z22" s="68"/>
      <c r="AA22" s="68"/>
      <c r="AB22" s="68"/>
    </row>
    <row r="23" spans="1:34" ht="13.9">
      <c r="A23" s="68" t="s">
        <v>144</v>
      </c>
      <c r="V23" s="68" t="s">
        <v>150</v>
      </c>
      <c r="W23" s="68"/>
      <c r="X23" s="68"/>
      <c r="Y23" s="68"/>
      <c r="Z23" s="68"/>
      <c r="AA23" s="68"/>
      <c r="AB23" s="68"/>
    </row>
    <row r="24" spans="1:34" ht="13.9">
      <c r="V24" s="68"/>
      <c r="W24" s="68"/>
      <c r="X24" s="68"/>
      <c r="Y24" s="68"/>
      <c r="Z24" s="68"/>
      <c r="AA24" s="68"/>
      <c r="AB24" s="68"/>
    </row>
    <row r="25" spans="1:34" ht="13.9">
      <c r="D25" s="176" t="s">
        <v>145</v>
      </c>
      <c r="G25" s="176" t="s">
        <v>146</v>
      </c>
      <c r="V25" s="176" t="s">
        <v>151</v>
      </c>
      <c r="W25" s="68"/>
      <c r="X25" s="152">
        <v>4.2999999999999997E-2</v>
      </c>
      <c r="Y25" s="71"/>
      <c r="Z25" s="152">
        <v>3.5999999999999997E-2</v>
      </c>
      <c r="AA25" s="71"/>
      <c r="AB25" s="152">
        <v>3.5000000000000003E-2</v>
      </c>
    </row>
    <row r="26" spans="1:34" ht="13.9">
      <c r="D26" s="73">
        <v>100</v>
      </c>
      <c r="G26" s="137">
        <v>2E-3</v>
      </c>
      <c r="V26" s="176" t="s">
        <v>152</v>
      </c>
      <c r="W26" s="68"/>
      <c r="X26" s="152">
        <v>4.2999999999999997E-2</v>
      </c>
      <c r="Y26" s="71"/>
      <c r="Z26" s="152">
        <v>3.5999999999999997E-2</v>
      </c>
      <c r="AA26" s="71"/>
      <c r="AB26" s="152">
        <v>3.5999999999999997E-2</v>
      </c>
    </row>
    <row r="27" spans="1:34" ht="13.9">
      <c r="D27" s="73">
        <v>200</v>
      </c>
      <c r="G27" s="137">
        <v>0</v>
      </c>
      <c r="V27" s="176" t="s">
        <v>153</v>
      </c>
      <c r="W27" s="68"/>
      <c r="X27" s="152">
        <v>5.1999999999999998E-2</v>
      </c>
      <c r="Y27" s="71"/>
      <c r="Z27" s="152">
        <v>4.4999999999999998E-2</v>
      </c>
      <c r="AA27" s="71"/>
      <c r="AB27" s="152">
        <v>4.4999999999999998E-2</v>
      </c>
    </row>
    <row r="28" spans="1:34" ht="13.9">
      <c r="D28" s="73">
        <v>250</v>
      </c>
      <c r="G28" s="137">
        <v>1.0999999999999999E-2</v>
      </c>
      <c r="V28" s="68"/>
      <c r="W28" s="68"/>
      <c r="X28" s="73"/>
      <c r="Y28" s="68"/>
      <c r="Z28" s="68"/>
      <c r="AA28" s="68"/>
      <c r="AB28" s="68"/>
    </row>
    <row r="29" spans="1:34" ht="13.9">
      <c r="D29" s="73">
        <v>500</v>
      </c>
      <c r="G29" s="137">
        <v>0.29499999999999998</v>
      </c>
      <c r="V29" s="68"/>
      <c r="W29" s="68"/>
      <c r="X29" s="73"/>
      <c r="Y29" s="68"/>
      <c r="Z29" s="68"/>
      <c r="AA29" s="68"/>
      <c r="AB29" s="68"/>
    </row>
    <row r="30" spans="1:34" ht="13.9">
      <c r="D30" s="73">
        <v>1000</v>
      </c>
      <c r="G30" s="137">
        <v>0.56499999999999995</v>
      </c>
      <c r="V30" s="68" t="s">
        <v>154</v>
      </c>
      <c r="W30" s="68"/>
      <c r="X30" s="137">
        <v>4.4999999999999998E-2</v>
      </c>
      <c r="Y30" s="71"/>
      <c r="Z30" s="68"/>
      <c r="AA30" s="68"/>
      <c r="AB30" s="68"/>
    </row>
    <row r="31" spans="1:34" ht="13.9">
      <c r="D31" s="73">
        <v>2000</v>
      </c>
      <c r="G31" s="137">
        <v>6.7000000000000004E-2</v>
      </c>
      <c r="V31" s="68" t="s">
        <v>155</v>
      </c>
      <c r="W31" s="68"/>
      <c r="X31" s="137">
        <v>0</v>
      </c>
      <c r="Y31" s="71"/>
      <c r="Z31" s="68"/>
      <c r="AA31" s="68"/>
      <c r="AB31" s="68"/>
    </row>
    <row r="32" spans="1:34" ht="13.9">
      <c r="D32" s="73">
        <v>3000</v>
      </c>
      <c r="G32" s="137">
        <v>1.6E-2</v>
      </c>
      <c r="V32" s="68" t="s">
        <v>156</v>
      </c>
      <c r="W32" s="68"/>
      <c r="X32" s="137">
        <v>4.4999999999999998E-2</v>
      </c>
      <c r="Y32" s="71"/>
      <c r="Z32" s="68"/>
      <c r="AA32" s="68"/>
      <c r="AB32" s="68"/>
    </row>
    <row r="33" spans="1:28" ht="13.9">
      <c r="D33" s="73">
        <v>5000</v>
      </c>
      <c r="G33" s="137">
        <v>4.2999999999999997E-2</v>
      </c>
      <c r="V33" s="68"/>
      <c r="W33" s="68"/>
      <c r="X33" s="73"/>
      <c r="Y33" s="68"/>
      <c r="Z33" s="68"/>
      <c r="AA33" s="68"/>
      <c r="AB33" s="68"/>
    </row>
    <row r="34" spans="1:28" ht="13.9">
      <c r="D34" s="73"/>
      <c r="G34" s="72"/>
      <c r="V34" s="68"/>
      <c r="W34" s="68"/>
      <c r="X34" s="68"/>
      <c r="Y34" s="68"/>
      <c r="Z34" s="68"/>
      <c r="AA34" s="68"/>
      <c r="AB34" s="68"/>
    </row>
    <row r="35" spans="1:28" ht="13.9">
      <c r="D35" s="73"/>
      <c r="G35" s="72"/>
      <c r="V35" s="68"/>
      <c r="W35" s="68"/>
      <c r="X35" s="68"/>
      <c r="Y35" s="68"/>
      <c r="Z35" s="68"/>
      <c r="AA35" s="68"/>
      <c r="AB35" s="68"/>
    </row>
    <row r="36" spans="1:28" ht="13.9">
      <c r="V36" s="68" t="s">
        <v>148</v>
      </c>
      <c r="W36" s="68"/>
      <c r="X36" s="68"/>
      <c r="Y36" s="68"/>
      <c r="Z36" s="68"/>
      <c r="AA36" s="68"/>
      <c r="AB36" s="68"/>
    </row>
    <row r="38" spans="1:28" ht="13.9">
      <c r="A38" s="68" t="s">
        <v>148</v>
      </c>
      <c r="B38" s="68"/>
      <c r="C38" s="68"/>
      <c r="D38" s="68"/>
      <c r="E38" s="68"/>
      <c r="F38" s="68"/>
      <c r="G38" s="68"/>
      <c r="H38" s="68"/>
      <c r="I38" s="68"/>
    </row>
    <row r="39" spans="1:28" ht="13.9">
      <c r="A39" s="68" t="str">
        <f>"** Change based on years ending "&amp;TEXT($A$20,"mm/dd")&amp;"/xxxx"</f>
        <v>** Change based on years ending 12/31/xxxx</v>
      </c>
      <c r="B39" s="68"/>
      <c r="C39" s="68"/>
      <c r="D39" s="68"/>
      <c r="E39" s="68"/>
      <c r="F39" s="68"/>
      <c r="G39" s="68"/>
      <c r="H39" s="68"/>
      <c r="I39" s="68"/>
    </row>
    <row r="40" spans="1:28" ht="13.9">
      <c r="A40" s="68" t="str">
        <f>"*** Deductibles above $2,000, totaling "&amp;TEXT(SUM(G32:G33),"0.0%")&amp;" of losses, are excluded from trend calculations."</f>
        <v>*** Deductibles above $2,000, totaling 5.9% of losses, are excluded from trend calculations.</v>
      </c>
      <c r="B40" s="68"/>
      <c r="C40" s="68"/>
      <c r="D40" s="68"/>
      <c r="G40" s="68"/>
      <c r="H40" s="68"/>
      <c r="I40" s="68"/>
    </row>
    <row r="41" spans="1:28" ht="13.9">
      <c r="A41" s="68"/>
      <c r="B41" s="68"/>
      <c r="C41" s="68"/>
      <c r="D41" s="68"/>
      <c r="E41" s="68"/>
      <c r="F41" s="68"/>
      <c r="G41" s="68"/>
      <c r="H41" s="68"/>
      <c r="I41" s="68"/>
    </row>
    <row r="47" spans="1:28" ht="13.9">
      <c r="L47" s="68" t="s">
        <v>265</v>
      </c>
    </row>
    <row r="48" spans="1:28" ht="13.9">
      <c r="L48" s="68" t="s">
        <v>296</v>
      </c>
    </row>
  </sheetData>
  <mergeCells count="15">
    <mergeCell ref="C8:D8"/>
    <mergeCell ref="F8:G8"/>
    <mergeCell ref="I8:J8"/>
    <mergeCell ref="V2:AB2"/>
    <mergeCell ref="V3:AB3"/>
    <mergeCell ref="V4:AB4"/>
    <mergeCell ref="V6:AB6"/>
    <mergeCell ref="A2:J2"/>
    <mergeCell ref="A3:J3"/>
    <mergeCell ref="A4:J4"/>
    <mergeCell ref="A6:J6"/>
    <mergeCell ref="K3:T3"/>
    <mergeCell ref="K4:T4"/>
    <mergeCell ref="K5:T5"/>
    <mergeCell ref="K6:T6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colBreaks count="2" manualBreakCount="2">
    <brk id="10" max="47" man="1"/>
    <brk id="20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D36"/>
  <sheetViews>
    <sheetView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55" t="s">
        <v>0</v>
      </c>
    </row>
    <row r="2" spans="1:4" ht="13.9">
      <c r="A2" s="55"/>
    </row>
    <row r="3" spans="1:4" ht="13.9">
      <c r="A3" s="55"/>
      <c r="B3" s="55"/>
      <c r="C3" s="77" t="s">
        <v>159</v>
      </c>
      <c r="D3" s="55"/>
    </row>
    <row r="4" spans="1:4" ht="13.9">
      <c r="A4" s="55"/>
      <c r="B4" s="55"/>
      <c r="C4" s="77" t="s">
        <v>160</v>
      </c>
      <c r="D4" s="55"/>
    </row>
    <row r="5" spans="1:4" ht="13.9">
      <c r="A5" s="55"/>
      <c r="B5" s="55"/>
      <c r="C5" s="77" t="s">
        <v>161</v>
      </c>
      <c r="D5" s="55"/>
    </row>
    <row r="6" spans="1:4" ht="13.9">
      <c r="A6" s="55"/>
      <c r="B6" s="55"/>
      <c r="C6" s="77" t="s">
        <v>162</v>
      </c>
      <c r="D6" s="55"/>
    </row>
    <row r="7" spans="1:4" ht="13.9">
      <c r="A7" s="55"/>
      <c r="B7" s="55"/>
      <c r="C7" s="55"/>
      <c r="D7" s="55"/>
    </row>
    <row r="8" spans="1:4" ht="13.9">
      <c r="A8" s="55"/>
      <c r="B8" s="55"/>
      <c r="C8" s="77" t="s">
        <v>163</v>
      </c>
      <c r="D8" s="55"/>
    </row>
    <row r="9" spans="1:4" ht="13.9">
      <c r="A9" s="55"/>
      <c r="B9" s="55"/>
      <c r="C9" s="55"/>
      <c r="D9" s="55"/>
    </row>
    <row r="10" spans="1:4" ht="27.75">
      <c r="A10" s="55"/>
      <c r="B10" s="78" t="s">
        <v>52</v>
      </c>
      <c r="C10" s="79" t="s">
        <v>164</v>
      </c>
      <c r="D10" s="79" t="s">
        <v>61</v>
      </c>
    </row>
    <row r="11" spans="1:4" ht="13.9">
      <c r="A11" s="55"/>
      <c r="B11" s="80"/>
      <c r="C11" s="80"/>
      <c r="D11" s="80"/>
    </row>
    <row r="12" spans="1:4" ht="13.9">
      <c r="A12" s="55"/>
      <c r="B12" s="115">
        <v>42185</v>
      </c>
      <c r="C12" s="126">
        <v>1.2490000000000001</v>
      </c>
      <c r="D12" s="126">
        <v>1.393</v>
      </c>
    </row>
    <row r="13" spans="1:4" ht="13.9">
      <c r="A13" s="55"/>
      <c r="B13" s="115">
        <v>42369</v>
      </c>
      <c r="C13" s="126">
        <v>1.2549999999999999</v>
      </c>
      <c r="D13" s="126">
        <v>1.403</v>
      </c>
    </row>
    <row r="14" spans="1:4" ht="13.9">
      <c r="A14" s="55"/>
      <c r="B14" s="115">
        <v>42551</v>
      </c>
      <c r="C14" s="126">
        <v>1.2609999999999999</v>
      </c>
      <c r="D14" s="126">
        <v>1.413</v>
      </c>
    </row>
    <row r="15" spans="1:4" ht="13.9">
      <c r="A15" s="55"/>
      <c r="B15" s="115">
        <v>42735</v>
      </c>
      <c r="C15" s="126">
        <v>1.266</v>
      </c>
      <c r="D15" s="126">
        <v>1.423</v>
      </c>
    </row>
    <row r="16" spans="1:4" ht="13.9">
      <c r="A16" s="55"/>
      <c r="B16" s="115">
        <v>42916</v>
      </c>
      <c r="C16" s="126">
        <v>1.2729999999999999</v>
      </c>
      <c r="D16" s="126">
        <v>1.4350000000000001</v>
      </c>
    </row>
    <row r="17" spans="1:4" ht="13.9">
      <c r="A17" s="55"/>
      <c r="B17" s="115">
        <v>43100</v>
      </c>
      <c r="C17" s="126">
        <v>1.2789999999999999</v>
      </c>
      <c r="D17" s="126">
        <v>1.446</v>
      </c>
    </row>
    <row r="18" spans="1:4" ht="13.9">
      <c r="A18" s="55"/>
      <c r="B18" s="115">
        <v>43281</v>
      </c>
      <c r="C18" s="126">
        <v>1.284</v>
      </c>
      <c r="D18" s="126">
        <v>1.456</v>
      </c>
    </row>
    <row r="19" spans="1:4" ht="13.9">
      <c r="A19" s="55"/>
      <c r="B19" s="115">
        <v>43465</v>
      </c>
      <c r="C19" s="126">
        <v>1.2889999999999999</v>
      </c>
      <c r="D19" s="126">
        <v>1.466</v>
      </c>
    </row>
    <row r="20" spans="1:4" ht="13.9">
      <c r="A20" s="55"/>
      <c r="B20" s="115">
        <v>43646</v>
      </c>
      <c r="C20" s="126">
        <v>1.2969999999999999</v>
      </c>
      <c r="D20" s="126">
        <v>1.4790000000000001</v>
      </c>
    </row>
    <row r="21" spans="1:4" ht="13.9">
      <c r="A21" s="55"/>
      <c r="B21" s="115">
        <v>43830</v>
      </c>
      <c r="C21" s="126">
        <v>1.3029999999999999</v>
      </c>
      <c r="D21" s="126">
        <v>1.488</v>
      </c>
    </row>
    <row r="22" spans="1:4" ht="13.9">
      <c r="A22" s="55"/>
      <c r="B22" s="55"/>
      <c r="C22" s="55"/>
      <c r="D22" s="55"/>
    </row>
    <row r="23" spans="1:4" ht="13.9">
      <c r="A23" s="55"/>
      <c r="B23" s="55"/>
      <c r="C23" s="77" t="s">
        <v>165</v>
      </c>
      <c r="D23" s="55"/>
    </row>
    <row r="24" spans="1:4" ht="13.9">
      <c r="A24" s="55"/>
      <c r="B24" s="55"/>
      <c r="C24" s="55"/>
      <c r="D24" s="55"/>
    </row>
    <row r="25" spans="1:4" ht="13.9">
      <c r="A25" s="55"/>
      <c r="B25" s="77" t="s">
        <v>166</v>
      </c>
      <c r="C25" s="81">
        <v>8.9999999999999993E-3</v>
      </c>
      <c r="D25" s="81">
        <v>1.4999999999999999E-2</v>
      </c>
    </row>
    <row r="26" spans="1:4" ht="13.9">
      <c r="A26" s="55"/>
      <c r="B26" s="77" t="s">
        <v>261</v>
      </c>
      <c r="C26" s="81">
        <v>8.9999999999999993E-3</v>
      </c>
      <c r="D26" s="81">
        <v>1.4999999999999999E-2</v>
      </c>
    </row>
    <row r="27" spans="1:4" ht="13.9">
      <c r="A27" s="55"/>
      <c r="B27" s="77" t="s">
        <v>167</v>
      </c>
      <c r="C27" s="81">
        <v>0.01</v>
      </c>
      <c r="D27" s="81">
        <v>1.4999999999999999E-2</v>
      </c>
    </row>
    <row r="28" spans="1:4" ht="13.9">
      <c r="A28" s="55"/>
      <c r="B28" s="55"/>
      <c r="C28" s="55"/>
      <c r="D28" s="55"/>
    </row>
    <row r="29" spans="1:4" ht="13.9">
      <c r="A29" s="55"/>
      <c r="B29" s="55" t="s">
        <v>168</v>
      </c>
      <c r="C29" s="55"/>
      <c r="D29" s="82">
        <v>8.9999999999999993E-3</v>
      </c>
    </row>
    <row r="30" spans="1:4" ht="13.9">
      <c r="A30" s="55"/>
      <c r="B30" s="55"/>
      <c r="C30" s="55"/>
      <c r="D30" s="57"/>
    </row>
    <row r="31" spans="1:4" ht="13.9">
      <c r="A31" s="55"/>
      <c r="B31" s="55" t="s">
        <v>169</v>
      </c>
      <c r="C31" s="55"/>
      <c r="D31" s="82">
        <v>1.4999999999999999E-2</v>
      </c>
    </row>
    <row r="32" spans="1:4" ht="13.9">
      <c r="A32" s="55"/>
      <c r="B32" s="55"/>
      <c r="C32" s="55"/>
      <c r="D32" s="57"/>
    </row>
    <row r="33" spans="1:4" ht="13.9">
      <c r="A33" s="55"/>
      <c r="B33" s="55"/>
      <c r="C33" s="55"/>
      <c r="D33" s="57"/>
    </row>
    <row r="34" spans="1:4" ht="13.9">
      <c r="A34" s="55"/>
      <c r="B34" s="55"/>
      <c r="C34" s="55"/>
      <c r="D34" s="55"/>
    </row>
    <row r="35" spans="1:4" ht="13.9">
      <c r="A35" s="55"/>
      <c r="B35" s="55"/>
      <c r="C35" s="55"/>
      <c r="D35" s="55"/>
    </row>
    <row r="36" spans="1:4" ht="13.9">
      <c r="A36" s="55"/>
      <c r="B36" s="55" t="s">
        <v>260</v>
      </c>
      <c r="C36" s="55"/>
      <c r="D36" s="55"/>
    </row>
  </sheetData>
  <pageMargins left="0.7" right="0.7" top="0.75" bottom="0.75" header="0.3" footer="0.3"/>
  <pageSetup scale="83" orientation="portrait" useFirstPageNumber="1" horizontalDpi="90" verticalDpi="90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181</v>
      </c>
      <c r="B2" s="279"/>
      <c r="C2" s="279"/>
      <c r="D2" s="279"/>
      <c r="E2" s="279"/>
      <c r="F2" s="279"/>
    </row>
    <row r="3" spans="1:6">
      <c r="A3" s="279" t="s">
        <v>343</v>
      </c>
      <c r="B3" s="279"/>
      <c r="C3" s="279"/>
      <c r="D3" s="279"/>
      <c r="E3" s="279"/>
      <c r="F3" s="279"/>
    </row>
    <row r="4" spans="1:6">
      <c r="A4" s="279" t="s">
        <v>344</v>
      </c>
      <c r="B4" s="279"/>
      <c r="C4" s="279"/>
      <c r="D4" s="279"/>
      <c r="E4" s="279"/>
      <c r="F4" s="279"/>
    </row>
    <row r="5" spans="1:6">
      <c r="A5" s="279" t="s">
        <v>170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  <c r="B8" s="84" t="s">
        <v>174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7926136</v>
      </c>
      <c r="C11" s="112">
        <v>11168019</v>
      </c>
      <c r="D11" s="112">
        <v>12666084</v>
      </c>
      <c r="E11" s="112">
        <v>13750682</v>
      </c>
      <c r="F11" s="112">
        <v>13773216</v>
      </c>
    </row>
    <row r="12" spans="1:6">
      <c r="A12" s="179" t="str">
        <f t="shared" si="0"/>
        <v>12/31/2009</v>
      </c>
      <c r="B12" s="112">
        <v>6293937</v>
      </c>
      <c r="C12" s="112">
        <v>10271080</v>
      </c>
      <c r="D12" s="112">
        <v>12720180</v>
      </c>
      <c r="E12" s="112">
        <v>13660805</v>
      </c>
      <c r="F12" s="112">
        <v>14247036</v>
      </c>
    </row>
    <row r="13" spans="1:6">
      <c r="A13" s="179" t="str">
        <f t="shared" si="0"/>
        <v>12/31/2010</v>
      </c>
      <c r="B13" s="112">
        <v>8574397</v>
      </c>
      <c r="C13" s="112">
        <v>13732631</v>
      </c>
      <c r="D13" s="112">
        <v>16165044</v>
      </c>
      <c r="E13" s="112">
        <v>17256262</v>
      </c>
      <c r="F13" s="112">
        <v>17439430</v>
      </c>
    </row>
    <row r="14" spans="1:6">
      <c r="A14" s="179" t="str">
        <f t="shared" si="0"/>
        <v>12/31/2011</v>
      </c>
      <c r="B14" s="112">
        <v>12432820</v>
      </c>
      <c r="C14" s="112">
        <v>18457551</v>
      </c>
      <c r="D14" s="112">
        <v>21834212</v>
      </c>
      <c r="E14" s="112">
        <v>23519212</v>
      </c>
      <c r="F14" s="112">
        <v>25831024</v>
      </c>
    </row>
    <row r="15" spans="1:6">
      <c r="A15" s="179" t="str">
        <f t="shared" si="0"/>
        <v>12/31/2012</v>
      </c>
      <c r="B15" s="112">
        <v>16335139</v>
      </c>
      <c r="C15" s="112">
        <v>21602325</v>
      </c>
      <c r="D15" s="112">
        <v>24112958</v>
      </c>
      <c r="E15" s="112">
        <v>26730112</v>
      </c>
      <c r="F15" s="112">
        <v>28010562</v>
      </c>
    </row>
    <row r="16" spans="1:6">
      <c r="A16" s="179" t="str">
        <f t="shared" si="0"/>
        <v>12/31/2013</v>
      </c>
      <c r="B16" s="112">
        <v>8594842</v>
      </c>
      <c r="C16" s="112">
        <v>11523116</v>
      </c>
      <c r="D16" s="112">
        <v>14994199</v>
      </c>
      <c r="E16" s="112">
        <v>16607595</v>
      </c>
      <c r="F16" s="112">
        <v>17131906</v>
      </c>
    </row>
    <row r="17" spans="1:6">
      <c r="A17" s="179" t="str">
        <f t="shared" si="0"/>
        <v>12/31/2014</v>
      </c>
      <c r="B17" s="112">
        <v>5611198</v>
      </c>
      <c r="C17" s="112">
        <v>9017615</v>
      </c>
      <c r="D17" s="112">
        <v>11361909</v>
      </c>
      <c r="E17" s="112">
        <v>12018423</v>
      </c>
      <c r="F17" s="112">
        <v>12351000</v>
      </c>
    </row>
    <row r="18" spans="1:6">
      <c r="A18" s="179" t="str">
        <f t="shared" si="0"/>
        <v>12/31/2015</v>
      </c>
      <c r="B18" s="112">
        <v>6299103</v>
      </c>
      <c r="C18" s="112">
        <v>9297457</v>
      </c>
      <c r="D18" s="112">
        <v>10606199</v>
      </c>
      <c r="E18" s="112">
        <v>11837496</v>
      </c>
      <c r="F18" s="112">
        <v>12048592</v>
      </c>
    </row>
    <row r="19" spans="1:6">
      <c r="A19" s="179" t="str">
        <f t="shared" si="0"/>
        <v>12/31/2016</v>
      </c>
      <c r="B19" s="112">
        <v>8946254</v>
      </c>
      <c r="C19" s="112">
        <v>11745624</v>
      </c>
      <c r="D19" s="112">
        <v>13810039</v>
      </c>
      <c r="E19" s="112">
        <v>15167913</v>
      </c>
      <c r="F19" s="112"/>
    </row>
    <row r="20" spans="1:6">
      <c r="A20" s="179" t="str">
        <f t="shared" si="0"/>
        <v>12/31/2017</v>
      </c>
      <c r="B20" s="112">
        <v>10145951</v>
      </c>
      <c r="C20" s="112">
        <v>12656211</v>
      </c>
      <c r="D20" s="112">
        <v>15898723</v>
      </c>
      <c r="E20" s="112"/>
      <c r="F20" s="112"/>
    </row>
    <row r="21" spans="1:6">
      <c r="A21" s="179" t="str">
        <f t="shared" si="0"/>
        <v>12/31/2018</v>
      </c>
      <c r="B21" s="112">
        <v>9688554</v>
      </c>
      <c r="C21" s="112">
        <v>11605379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6656982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179" t="str">
        <f>A11</f>
        <v>12/31/2008</v>
      </c>
      <c r="C28" s="90">
        <f>C11/B11</f>
        <v>1.4090117807718667</v>
      </c>
      <c r="D28" s="90">
        <f t="shared" ref="D28:E37" si="1">D11/C11</f>
        <v>1.1341388298139536</v>
      </c>
      <c r="E28" s="90">
        <f t="shared" si="1"/>
        <v>1.0856300968791932</v>
      </c>
      <c r="F28" s="90">
        <f t="shared" ref="F28" si="2">F11/E11</f>
        <v>1.0016387550813843</v>
      </c>
    </row>
    <row r="29" spans="1:6">
      <c r="A29" s="179" t="str">
        <f t="shared" ref="A29:A38" si="3">A12</f>
        <v>12/31/2009</v>
      </c>
      <c r="C29" s="90">
        <f t="shared" ref="C29:C38" si="4">C12/B12</f>
        <v>1.6319006688500377</v>
      </c>
      <c r="D29" s="90">
        <f t="shared" si="1"/>
        <v>1.2384462003995684</v>
      </c>
      <c r="E29" s="90">
        <f t="shared" si="1"/>
        <v>1.0739474598629895</v>
      </c>
      <c r="F29" s="90">
        <f t="shared" ref="F29" si="5">F12/E12</f>
        <v>1.0429133568629374</v>
      </c>
    </row>
    <row r="30" spans="1:6">
      <c r="A30" s="179" t="str">
        <f t="shared" si="3"/>
        <v>12/31/2010</v>
      </c>
      <c r="C30" s="90">
        <f t="shared" si="4"/>
        <v>1.6015856275374234</v>
      </c>
      <c r="D30" s="90">
        <f t="shared" si="1"/>
        <v>1.1771265098435981</v>
      </c>
      <c r="E30" s="90">
        <f t="shared" si="1"/>
        <v>1.0675047961514983</v>
      </c>
      <c r="F30" s="90">
        <f t="shared" ref="F30" si="6">F13/E13</f>
        <v>1.0106145815356766</v>
      </c>
    </row>
    <row r="31" spans="1:6">
      <c r="A31" s="179" t="str">
        <f t="shared" si="3"/>
        <v>12/31/2011</v>
      </c>
      <c r="C31" s="90">
        <f t="shared" si="4"/>
        <v>1.4845828219181167</v>
      </c>
      <c r="D31" s="90">
        <f t="shared" si="1"/>
        <v>1.1829419840151059</v>
      </c>
      <c r="E31" s="90">
        <f t="shared" si="1"/>
        <v>1.0771724667691236</v>
      </c>
      <c r="F31" s="90">
        <f t="shared" ref="F31" si="7">F14/E14</f>
        <v>1.0982946197347088</v>
      </c>
    </row>
    <row r="32" spans="1:6">
      <c r="A32" s="179" t="str">
        <f t="shared" si="3"/>
        <v>12/31/2012</v>
      </c>
      <c r="C32" s="90">
        <f t="shared" si="4"/>
        <v>1.3224451288721817</v>
      </c>
      <c r="D32" s="90">
        <f t="shared" si="1"/>
        <v>1.1162204994138363</v>
      </c>
      <c r="E32" s="90">
        <f t="shared" si="1"/>
        <v>1.1085372437508496</v>
      </c>
      <c r="F32" s="90">
        <f t="shared" ref="F32" si="8">F15/E15</f>
        <v>1.047902904409828</v>
      </c>
    </row>
    <row r="33" spans="1:6">
      <c r="A33" s="179" t="str">
        <f t="shared" si="3"/>
        <v>12/31/2013</v>
      </c>
      <c r="C33" s="90">
        <f t="shared" si="4"/>
        <v>1.3407013183023027</v>
      </c>
      <c r="D33" s="90">
        <f t="shared" si="1"/>
        <v>1.3012278102554899</v>
      </c>
      <c r="E33" s="90">
        <f t="shared" si="1"/>
        <v>1.1076013463606826</v>
      </c>
      <c r="F33" s="90">
        <f t="shared" ref="F33" si="9">F16/E16</f>
        <v>1.0315705555199293</v>
      </c>
    </row>
    <row r="34" spans="1:6">
      <c r="A34" s="179" t="str">
        <f t="shared" si="3"/>
        <v>12/31/2014</v>
      </c>
      <c r="C34" s="90">
        <f t="shared" si="4"/>
        <v>1.6070748171780787</v>
      </c>
      <c r="D34" s="90">
        <f t="shared" si="1"/>
        <v>1.2599682953863078</v>
      </c>
      <c r="E34" s="90">
        <f t="shared" si="1"/>
        <v>1.0577820153285862</v>
      </c>
      <c r="F34" s="90">
        <f t="shared" ref="F34" si="10">F17/E17</f>
        <v>1.0276722661533879</v>
      </c>
    </row>
    <row r="35" spans="1:6">
      <c r="A35" s="179" t="str">
        <f t="shared" si="3"/>
        <v>12/31/2015</v>
      </c>
      <c r="C35" s="90">
        <f t="shared" si="4"/>
        <v>1.4759969792524428</v>
      </c>
      <c r="D35" s="90">
        <f t="shared" si="1"/>
        <v>1.1407634367117805</v>
      </c>
      <c r="E35" s="90">
        <f t="shared" si="1"/>
        <v>1.1160922023054631</v>
      </c>
      <c r="F35" s="90">
        <f t="shared" ref="F35" si="11">F18/E18</f>
        <v>1.0178328254556539</v>
      </c>
    </row>
    <row r="36" spans="1:6">
      <c r="A36" s="179" t="str">
        <f t="shared" si="3"/>
        <v>12/31/2016</v>
      </c>
      <c r="C36" s="90">
        <f t="shared" si="4"/>
        <v>1.3129097385341395</v>
      </c>
      <c r="D36" s="90">
        <f t="shared" si="1"/>
        <v>1.1757603512593287</v>
      </c>
      <c r="E36" s="90">
        <f t="shared" si="1"/>
        <v>1.0983251386907742</v>
      </c>
    </row>
    <row r="37" spans="1:6">
      <c r="A37" s="179" t="str">
        <f t="shared" si="3"/>
        <v>12/31/2017</v>
      </c>
      <c r="C37" s="90">
        <f t="shared" si="4"/>
        <v>1.2474149540048045</v>
      </c>
      <c r="D37" s="90">
        <f t="shared" si="1"/>
        <v>1.2561992684856471</v>
      </c>
    </row>
    <row r="38" spans="1:6">
      <c r="A38" s="179" t="str">
        <f t="shared" si="3"/>
        <v>12/31/2018</v>
      </c>
      <c r="C38" s="90">
        <f t="shared" si="4"/>
        <v>1.1978442809938408</v>
      </c>
    </row>
    <row r="39" spans="1:6">
      <c r="A39" s="179"/>
    </row>
    <row r="40" spans="1:6">
      <c r="A40" s="84" t="s">
        <v>189</v>
      </c>
      <c r="C40" s="90">
        <f>(SUM(C34:C38)-MAX(C34:C38)-MIN(C34:C38))/3</f>
        <v>1.3454405572637953</v>
      </c>
      <c r="D40" s="90">
        <f>(SUM(D33:D37)-MAX(D33:D37)-MIN(D33:D37))/3</f>
        <v>1.2306426383770945</v>
      </c>
      <c r="E40" s="90">
        <f>(SUM(E32:E36)-MAX(E32:E36)-MIN(E32:E36))/3</f>
        <v>1.1048212429341022</v>
      </c>
      <c r="F40" s="90">
        <f>(SUM(F31:F35)-MAX(F31:F35)-MIN(F31:F35))/3</f>
        <v>1.0357152420277151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1.0129999999999999</v>
      </c>
    </row>
    <row r="45" spans="1:6">
      <c r="A45" s="84" t="s">
        <v>193</v>
      </c>
      <c r="E45" s="86" t="s">
        <v>194</v>
      </c>
      <c r="F45" s="90">
        <f>ROUND(F40*F44,3)</f>
        <v>1.0489999999999999</v>
      </c>
    </row>
    <row r="46" spans="1:6">
      <c r="A46" s="84" t="s">
        <v>195</v>
      </c>
      <c r="E46" s="86" t="s">
        <v>196</v>
      </c>
      <c r="F46" s="90">
        <f>ROUND(E40*F45,3)</f>
        <v>1.159</v>
      </c>
    </row>
    <row r="47" spans="1:6">
      <c r="A47" s="84" t="s">
        <v>197</v>
      </c>
      <c r="E47" s="86" t="s">
        <v>198</v>
      </c>
      <c r="F47" s="90">
        <f>ROUND(D40*F46,3)</f>
        <v>1.4259999999999999</v>
      </c>
    </row>
    <row r="48" spans="1:6">
      <c r="A48" s="84" t="s">
        <v>199</v>
      </c>
      <c r="E48" s="86" t="s">
        <v>200</v>
      </c>
      <c r="F48" s="90">
        <f>ROUND(C40*F47,3)</f>
        <v>1.919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181</v>
      </c>
      <c r="B50" s="279"/>
      <c r="C50" s="279"/>
      <c r="D50" s="279"/>
      <c r="E50" s="279"/>
      <c r="F50" s="279"/>
    </row>
    <row r="51" spans="1:6">
      <c r="A51" s="279" t="s">
        <v>343</v>
      </c>
      <c r="B51" s="279"/>
      <c r="C51" s="279"/>
      <c r="D51" s="279"/>
      <c r="E51" s="279"/>
      <c r="F51" s="279"/>
    </row>
    <row r="52" spans="1:6">
      <c r="A52" s="279" t="s">
        <v>344</v>
      </c>
      <c r="B52" s="279"/>
      <c r="C52" s="279"/>
      <c r="D52" s="279"/>
      <c r="E52" s="279"/>
      <c r="F52" s="279"/>
    </row>
    <row r="53" spans="1:6">
      <c r="A53" s="279" t="s">
        <v>170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  <c r="B56" s="84" t="s">
        <v>174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A11</f>
        <v>12/31/2008</v>
      </c>
      <c r="B59" s="112">
        <v>13964717</v>
      </c>
      <c r="C59" s="112">
        <v>14028211</v>
      </c>
      <c r="D59" s="112">
        <v>14055466</v>
      </c>
      <c r="E59" s="112">
        <v>14236539</v>
      </c>
      <c r="F59" s="112">
        <v>14272060</v>
      </c>
    </row>
    <row r="60" spans="1:6">
      <c r="A60" s="89" t="str">
        <f t="shared" ref="A60:A65" si="12">A12</f>
        <v>12/31/2009</v>
      </c>
      <c r="B60" s="112">
        <v>14290815</v>
      </c>
      <c r="C60" s="112">
        <v>14639636</v>
      </c>
      <c r="D60" s="112">
        <v>14637378</v>
      </c>
      <c r="E60" s="112">
        <v>14652416</v>
      </c>
      <c r="F60" s="112">
        <v>14652416</v>
      </c>
    </row>
    <row r="61" spans="1:6">
      <c r="A61" s="89" t="str">
        <f t="shared" si="12"/>
        <v>12/31/2010</v>
      </c>
      <c r="B61" s="112">
        <v>17521616</v>
      </c>
      <c r="C61" s="112">
        <v>17535234</v>
      </c>
      <c r="D61" s="112">
        <v>17657834</v>
      </c>
      <c r="E61" s="112">
        <v>17706560</v>
      </c>
      <c r="F61" s="112">
        <v>17682598</v>
      </c>
    </row>
    <row r="62" spans="1:6">
      <c r="A62" s="89" t="str">
        <f t="shared" si="12"/>
        <v>12/31/2011</v>
      </c>
      <c r="B62" s="112">
        <v>26050007</v>
      </c>
      <c r="C62" s="112">
        <v>26092845</v>
      </c>
      <c r="D62" s="112">
        <v>26129885</v>
      </c>
      <c r="E62" s="112">
        <v>26147586</v>
      </c>
      <c r="F62" s="112"/>
    </row>
    <row r="63" spans="1:6">
      <c r="A63" s="89" t="str">
        <f t="shared" si="12"/>
        <v>12/31/2012</v>
      </c>
      <c r="B63" s="112">
        <v>28500612</v>
      </c>
      <c r="C63" s="112">
        <v>28420913</v>
      </c>
      <c r="D63" s="112">
        <v>28757133</v>
      </c>
      <c r="E63" s="112"/>
      <c r="F63" s="112"/>
    </row>
    <row r="64" spans="1:6">
      <c r="A64" s="89" t="str">
        <f t="shared" si="12"/>
        <v>12/31/2013</v>
      </c>
      <c r="B64" s="112">
        <v>17151406</v>
      </c>
      <c r="C64" s="112">
        <v>17174072</v>
      </c>
      <c r="D64" s="112"/>
      <c r="E64" s="112"/>
      <c r="F64" s="112"/>
    </row>
    <row r="65" spans="1:6">
      <c r="A65" s="89" t="str">
        <f t="shared" si="12"/>
        <v>12/31/2014</v>
      </c>
      <c r="B65" s="112">
        <v>12448964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>A11</f>
        <v>12/31/2008</v>
      </c>
      <c r="B71" s="90">
        <f>B59/F11</f>
        <v>1.0139038696554239</v>
      </c>
      <c r="C71" s="90">
        <f>C59/B59</f>
        <v>1.0045467444846896</v>
      </c>
      <c r="D71" s="90">
        <f t="shared" ref="D71:F75" si="13">D59/C59</f>
        <v>1.0019428706910667</v>
      </c>
      <c r="E71" s="90">
        <f t="shared" si="13"/>
        <v>1.0128827461145722</v>
      </c>
      <c r="F71" s="90">
        <f t="shared" si="13"/>
        <v>1.0024950586655927</v>
      </c>
    </row>
    <row r="72" spans="1:6">
      <c r="A72" s="89" t="str">
        <f t="shared" ref="A72:A77" si="14">A12</f>
        <v>12/31/2009</v>
      </c>
      <c r="B72" s="90">
        <f t="shared" ref="B72:B77" si="15">B60/F12</f>
        <v>1.0030728496790491</v>
      </c>
      <c r="C72" s="90">
        <f t="shared" ref="C72:C76" si="16">C60/B60</f>
        <v>1.0244087548540795</v>
      </c>
      <c r="D72" s="90">
        <f t="shared" si="13"/>
        <v>0.99984576119242308</v>
      </c>
      <c r="E72" s="90">
        <f t="shared" si="13"/>
        <v>1.0010273697925953</v>
      </c>
      <c r="F72" s="90">
        <f t="shared" si="13"/>
        <v>1</v>
      </c>
    </row>
    <row r="73" spans="1:6">
      <c r="A73" s="89" t="str">
        <f t="shared" si="14"/>
        <v>12/31/2010</v>
      </c>
      <c r="B73" s="90">
        <f t="shared" si="15"/>
        <v>1.004712654025963</v>
      </c>
      <c r="C73" s="90">
        <f t="shared" si="16"/>
        <v>1.000777211417029</v>
      </c>
      <c r="D73" s="90">
        <f t="shared" si="13"/>
        <v>1.0069916375224877</v>
      </c>
      <c r="E73" s="90">
        <f t="shared" si="13"/>
        <v>1.0027594550951153</v>
      </c>
      <c r="F73" s="90">
        <f t="shared" si="13"/>
        <v>0.99864671624527857</v>
      </c>
    </row>
    <row r="74" spans="1:6">
      <c r="A74" s="89" t="str">
        <f t="shared" si="14"/>
        <v>12/31/2011</v>
      </c>
      <c r="B74" s="90">
        <f t="shared" si="15"/>
        <v>1.0084775191258388</v>
      </c>
      <c r="C74" s="90">
        <f t="shared" si="16"/>
        <v>1.0016444525331605</v>
      </c>
      <c r="D74" s="90">
        <f t="shared" si="13"/>
        <v>1.0014195462395918</v>
      </c>
      <c r="E74" s="90">
        <f t="shared" si="13"/>
        <v>1.0006774235707505</v>
      </c>
    </row>
    <row r="75" spans="1:6">
      <c r="A75" s="89" t="str">
        <f t="shared" si="14"/>
        <v>12/31/2012</v>
      </c>
      <c r="B75" s="90">
        <f t="shared" si="15"/>
        <v>1.0174951862800896</v>
      </c>
      <c r="C75" s="90">
        <f t="shared" si="16"/>
        <v>0.99720360390857576</v>
      </c>
      <c r="D75" s="90">
        <f t="shared" si="13"/>
        <v>1.0118300210834184</v>
      </c>
    </row>
    <row r="76" spans="1:6">
      <c r="A76" s="89" t="str">
        <f t="shared" si="14"/>
        <v>12/31/2013</v>
      </c>
      <c r="B76" s="90">
        <f t="shared" si="15"/>
        <v>1.0011382271184537</v>
      </c>
      <c r="C76" s="90">
        <f t="shared" si="16"/>
        <v>1.0013215243111848</v>
      </c>
    </row>
    <row r="77" spans="1:6">
      <c r="A77" s="89" t="str">
        <f t="shared" si="14"/>
        <v>12/31/2014</v>
      </c>
      <c r="B77" s="90">
        <f t="shared" si="15"/>
        <v>1.0079316654521902</v>
      </c>
    </row>
    <row r="79" spans="1:6">
      <c r="A79" s="84" t="s">
        <v>189</v>
      </c>
      <c r="B79" s="90">
        <f>(SUM(B73:B77)-MAX(B73:B77)-MIN(B73:B77))/3</f>
        <v>1.0070406128679974</v>
      </c>
      <c r="C79" s="90">
        <f>(SUM(C72:C76)-MAX(C72:C76)-MIN(C72:C76))/3</f>
        <v>1.001247729420458</v>
      </c>
      <c r="D79" s="90">
        <f>(SUM(D71:D75)-MAX(D71:D75)-MIN(D71:D75))/3</f>
        <v>1.0034513514843819</v>
      </c>
      <c r="E79" s="90">
        <f>(SUM(E71:E74)-MAX(E71:E74)-MIN(E71:E74))/(COUNT(E71:E74)-2)</f>
        <v>1.0018934124438554</v>
      </c>
      <c r="F79" s="90">
        <f>SUM(F71:F73)/3</f>
        <v>1.0003805916369573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1.002</v>
      </c>
    </row>
    <row r="86" spans="1:6">
      <c r="A86" s="84" t="s">
        <v>217</v>
      </c>
      <c r="E86" s="86" t="s">
        <v>218</v>
      </c>
      <c r="F86" s="90">
        <f>ROUND(D79*F85,3)</f>
        <v>1.0049999999999999</v>
      </c>
    </row>
    <row r="87" spans="1:6">
      <c r="A87" s="84" t="s">
        <v>219</v>
      </c>
      <c r="E87" s="86" t="s">
        <v>220</v>
      </c>
      <c r="F87" s="90">
        <f>ROUND(C79*F86,3)</f>
        <v>1.006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181</v>
      </c>
      <c r="B90" s="279"/>
      <c r="C90" s="279"/>
      <c r="D90" s="279"/>
      <c r="E90" s="279"/>
      <c r="F90" s="279"/>
    </row>
    <row r="91" spans="1:6">
      <c r="A91" s="279" t="s">
        <v>345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170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  <c r="B96" s="84" t="s">
        <v>174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6532973</v>
      </c>
      <c r="C99" s="112">
        <v>6864634</v>
      </c>
      <c r="D99" s="112">
        <v>6923072</v>
      </c>
      <c r="E99" s="112">
        <v>7065354</v>
      </c>
      <c r="F99" s="112">
        <v>7045663</v>
      </c>
    </row>
    <row r="100" spans="1:6">
      <c r="A100" s="89" t="str">
        <f t="shared" ref="A100:A110" si="17">A12</f>
        <v>12/31/2009</v>
      </c>
      <c r="B100" s="112">
        <v>6281929</v>
      </c>
      <c r="C100" s="112">
        <v>6897639</v>
      </c>
      <c r="D100" s="112">
        <v>6986719</v>
      </c>
      <c r="E100" s="112">
        <v>6923013</v>
      </c>
      <c r="F100" s="112">
        <v>7062806</v>
      </c>
    </row>
    <row r="101" spans="1:6">
      <c r="A101" s="89" t="str">
        <f t="shared" si="17"/>
        <v>12/31/2010</v>
      </c>
      <c r="B101" s="112">
        <v>8698063</v>
      </c>
      <c r="C101" s="112">
        <v>9609024</v>
      </c>
      <c r="D101" s="112">
        <v>9731584</v>
      </c>
      <c r="E101" s="112">
        <v>9986031</v>
      </c>
      <c r="F101" s="112">
        <v>10347986</v>
      </c>
    </row>
    <row r="102" spans="1:6">
      <c r="A102" s="89" t="str">
        <f t="shared" si="17"/>
        <v>12/31/2011</v>
      </c>
      <c r="B102" s="112">
        <v>11496560</v>
      </c>
      <c r="C102" s="112">
        <v>12208468</v>
      </c>
      <c r="D102" s="112">
        <v>12680365</v>
      </c>
      <c r="E102" s="112">
        <v>13962791</v>
      </c>
      <c r="F102" s="112">
        <v>13854199</v>
      </c>
    </row>
    <row r="103" spans="1:6">
      <c r="A103" s="89" t="str">
        <f t="shared" si="17"/>
        <v>12/31/2012</v>
      </c>
      <c r="B103" s="112">
        <v>11244178</v>
      </c>
      <c r="C103" s="112">
        <v>12407176</v>
      </c>
      <c r="D103" s="112">
        <v>14005948</v>
      </c>
      <c r="E103" s="112">
        <v>13723596</v>
      </c>
      <c r="F103" s="112">
        <v>14044744</v>
      </c>
    </row>
    <row r="104" spans="1:6">
      <c r="A104" s="89" t="str">
        <f t="shared" si="17"/>
        <v>12/31/2013</v>
      </c>
      <c r="B104" s="112">
        <v>9696525</v>
      </c>
      <c r="C104" s="112">
        <v>12723543</v>
      </c>
      <c r="D104" s="112">
        <v>13951550</v>
      </c>
      <c r="E104" s="112">
        <v>15439612</v>
      </c>
      <c r="F104" s="112">
        <v>15486808</v>
      </c>
    </row>
    <row r="105" spans="1:6">
      <c r="A105" s="89" t="str">
        <f t="shared" si="17"/>
        <v>12/31/2014</v>
      </c>
      <c r="B105" s="112">
        <v>10575065</v>
      </c>
      <c r="C105" s="112">
        <v>10710945</v>
      </c>
      <c r="D105" s="112">
        <v>11595954</v>
      </c>
      <c r="E105" s="112">
        <v>11835599</v>
      </c>
      <c r="F105" s="112">
        <v>12083189</v>
      </c>
    </row>
    <row r="106" spans="1:6">
      <c r="A106" s="89" t="str">
        <f t="shared" si="17"/>
        <v>12/31/2015</v>
      </c>
      <c r="B106" s="112">
        <v>6268141</v>
      </c>
      <c r="C106" s="112">
        <v>6720582</v>
      </c>
      <c r="D106" s="112">
        <v>6681785</v>
      </c>
      <c r="E106" s="112">
        <v>6723870</v>
      </c>
      <c r="F106" s="112">
        <v>6713471</v>
      </c>
    </row>
    <row r="107" spans="1:6">
      <c r="A107" s="89" t="str">
        <f t="shared" si="17"/>
        <v>12/31/2016</v>
      </c>
      <c r="B107" s="112">
        <v>9311927</v>
      </c>
      <c r="C107" s="112">
        <v>10137205</v>
      </c>
      <c r="D107" s="112">
        <v>10529779</v>
      </c>
      <c r="E107" s="112">
        <v>10590689</v>
      </c>
      <c r="F107" s="112"/>
    </row>
    <row r="108" spans="1:6">
      <c r="A108" s="89" t="str">
        <f t="shared" si="17"/>
        <v>12/31/2017</v>
      </c>
      <c r="B108" s="112">
        <v>8555232</v>
      </c>
      <c r="C108" s="112">
        <v>8902964</v>
      </c>
      <c r="D108" s="112">
        <v>9005301</v>
      </c>
      <c r="E108" s="112"/>
      <c r="F108" s="112"/>
    </row>
    <row r="109" spans="1:6">
      <c r="A109" s="89" t="str">
        <f t="shared" si="17"/>
        <v>12/31/2018</v>
      </c>
      <c r="B109" s="112">
        <v>6483917</v>
      </c>
      <c r="C109" s="112">
        <v>6799148</v>
      </c>
      <c r="D109" s="112"/>
      <c r="E109" s="112"/>
      <c r="F109" s="112"/>
    </row>
    <row r="110" spans="1:6">
      <c r="A110" s="89" t="str">
        <f t="shared" si="17"/>
        <v>12/31/2019</v>
      </c>
      <c r="B110" s="112">
        <v>4889468</v>
      </c>
      <c r="C110" s="112"/>
      <c r="D110" s="112"/>
      <c r="E110" s="112"/>
      <c r="F110" s="112"/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A11</f>
        <v>12/31/2008</v>
      </c>
      <c r="C116" s="90">
        <f>C99/B99</f>
        <v>1.0507672387441369</v>
      </c>
      <c r="D116" s="90">
        <f t="shared" ref="D116:F123" si="18">D99/C99</f>
        <v>1.0085129083356812</v>
      </c>
      <c r="E116" s="90">
        <f t="shared" si="18"/>
        <v>1.0205518590590998</v>
      </c>
      <c r="F116" s="90">
        <f t="shared" si="18"/>
        <v>0.99721302004117562</v>
      </c>
    </row>
    <row r="117" spans="1:6">
      <c r="A117" s="89" t="str">
        <f t="shared" ref="A117:A126" si="19">A12</f>
        <v>12/31/2009</v>
      </c>
      <c r="C117" s="90">
        <f t="shared" ref="C117:E126" si="20">C100/B100</f>
        <v>1.0980128874426947</v>
      </c>
      <c r="D117" s="90">
        <f t="shared" si="20"/>
        <v>1.0129145639544197</v>
      </c>
      <c r="E117" s="90">
        <f t="shared" si="20"/>
        <v>0.99088184310833172</v>
      </c>
      <c r="F117" s="90">
        <f t="shared" si="18"/>
        <v>1.0201925086663857</v>
      </c>
    </row>
    <row r="118" spans="1:6">
      <c r="A118" s="89" t="str">
        <f t="shared" si="19"/>
        <v>12/31/2010</v>
      </c>
      <c r="C118" s="90">
        <f t="shared" si="20"/>
        <v>1.1047314787211819</v>
      </c>
      <c r="D118" s="90">
        <f t="shared" si="20"/>
        <v>1.0127546772700329</v>
      </c>
      <c r="E118" s="90">
        <f t="shared" si="20"/>
        <v>1.0261465142776345</v>
      </c>
      <c r="F118" s="90">
        <f t="shared" si="18"/>
        <v>1.036246132222101</v>
      </c>
    </row>
    <row r="119" spans="1:6">
      <c r="A119" s="89" t="str">
        <f t="shared" si="19"/>
        <v>12/31/2011</v>
      </c>
      <c r="C119" s="90">
        <f t="shared" si="20"/>
        <v>1.0619235667016917</v>
      </c>
      <c r="D119" s="90">
        <f t="shared" si="20"/>
        <v>1.0386532528078052</v>
      </c>
      <c r="E119" s="90">
        <f t="shared" si="20"/>
        <v>1.101134785946619</v>
      </c>
      <c r="F119" s="90">
        <f t="shared" si="18"/>
        <v>0.99222275832962048</v>
      </c>
    </row>
    <row r="120" spans="1:6">
      <c r="A120" s="89" t="str">
        <f t="shared" si="19"/>
        <v>12/31/2012</v>
      </c>
      <c r="C120" s="90">
        <f t="shared" si="20"/>
        <v>1.1034311267573316</v>
      </c>
      <c r="D120" s="90">
        <f t="shared" si="20"/>
        <v>1.1288586540563299</v>
      </c>
      <c r="E120" s="90">
        <f t="shared" si="20"/>
        <v>0.9798405648800067</v>
      </c>
      <c r="F120" s="90">
        <f t="shared" si="18"/>
        <v>1.0234011552074251</v>
      </c>
    </row>
    <row r="121" spans="1:6">
      <c r="A121" s="89" t="str">
        <f t="shared" si="19"/>
        <v>12/31/2013</v>
      </c>
      <c r="C121" s="90">
        <f t="shared" si="20"/>
        <v>1.3121755474254952</v>
      </c>
      <c r="D121" s="90">
        <f t="shared" si="20"/>
        <v>1.0965145478739688</v>
      </c>
      <c r="E121" s="90">
        <f t="shared" si="20"/>
        <v>1.1066592600822132</v>
      </c>
      <c r="F121" s="90">
        <f t="shared" si="18"/>
        <v>1.0030568125675696</v>
      </c>
    </row>
    <row r="122" spans="1:6">
      <c r="A122" s="89" t="str">
        <f t="shared" si="19"/>
        <v>12/31/2014</v>
      </c>
      <c r="C122" s="90">
        <f t="shared" si="20"/>
        <v>1.0128490935989518</v>
      </c>
      <c r="D122" s="90">
        <f t="shared" si="20"/>
        <v>1.0826266029748075</v>
      </c>
      <c r="E122" s="90">
        <f t="shared" si="20"/>
        <v>1.0206662599730907</v>
      </c>
      <c r="F122" s="90">
        <f t="shared" si="18"/>
        <v>1.020919093321766</v>
      </c>
    </row>
    <row r="123" spans="1:6">
      <c r="A123" s="89" t="str">
        <f t="shared" si="19"/>
        <v>12/31/2015</v>
      </c>
      <c r="C123" s="90">
        <f t="shared" si="20"/>
        <v>1.0721810501710156</v>
      </c>
      <c r="D123" s="90">
        <f t="shared" si="20"/>
        <v>0.99422713687594322</v>
      </c>
      <c r="E123" s="90">
        <f t="shared" si="20"/>
        <v>1.0062984666522494</v>
      </c>
      <c r="F123" s="90">
        <f t="shared" si="18"/>
        <v>0.99845342042603447</v>
      </c>
    </row>
    <row r="124" spans="1:6">
      <c r="A124" s="89" t="str">
        <f t="shared" si="19"/>
        <v>12/31/2016</v>
      </c>
      <c r="C124" s="90">
        <f t="shared" si="20"/>
        <v>1.0886259095458974</v>
      </c>
      <c r="D124" s="90">
        <f t="shared" si="20"/>
        <v>1.0387260591060357</v>
      </c>
      <c r="E124" s="90">
        <f t="shared" si="20"/>
        <v>1.0057845468551618</v>
      </c>
    </row>
    <row r="125" spans="1:6">
      <c r="A125" s="89" t="str">
        <f t="shared" si="19"/>
        <v>12/31/2017</v>
      </c>
      <c r="C125" s="90">
        <f t="shared" si="20"/>
        <v>1.0406455371403136</v>
      </c>
      <c r="D125" s="90">
        <f t="shared" si="20"/>
        <v>1.0114947111995511</v>
      </c>
    </row>
    <row r="126" spans="1:6">
      <c r="A126" s="89" t="str">
        <f t="shared" si="19"/>
        <v>12/31/2018</v>
      </c>
      <c r="C126" s="90">
        <f t="shared" si="20"/>
        <v>1.0486173712587623</v>
      </c>
    </row>
    <row r="128" spans="1:6">
      <c r="A128" s="84" t="s">
        <v>189</v>
      </c>
      <c r="C128" s="90">
        <f>(SUM(C122:C126)-MAX(C122:C126)-MIN(C122:C126))/3</f>
        <v>1.0538146528566974</v>
      </c>
      <c r="D128" s="90">
        <f>(SUM(D121:D125)-MAX(D121:D125)-MIN(D121:D125))/3</f>
        <v>1.0442824577601313</v>
      </c>
      <c r="E128" s="90">
        <f>(SUM(E120:E124)-MAX(E120:E124)-MIN(E120:E124))/3</f>
        <v>1.0109164244935009</v>
      </c>
      <c r="F128" s="90">
        <f>(SUM(F119:F123)-MAX(F119:F123)-MIN(F119:F123))/3</f>
        <v>1.0074764421051237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ROUND(B168*F175,3)</f>
        <v>1.004</v>
      </c>
    </row>
    <row r="133" spans="1:6">
      <c r="A133" s="84" t="s">
        <v>193</v>
      </c>
      <c r="E133" s="86" t="s">
        <v>194</v>
      </c>
      <c r="F133" s="90">
        <f>ROUND(F128*F132,3)</f>
        <v>1.012</v>
      </c>
    </row>
    <row r="134" spans="1:6">
      <c r="A134" s="84" t="s">
        <v>195</v>
      </c>
      <c r="E134" s="86" t="s">
        <v>196</v>
      </c>
      <c r="F134" s="90">
        <f>ROUND(E128*F133,3)</f>
        <v>1.0229999999999999</v>
      </c>
    </row>
    <row r="135" spans="1:6">
      <c r="A135" s="84" t="s">
        <v>197</v>
      </c>
      <c r="E135" s="86" t="s">
        <v>198</v>
      </c>
      <c r="F135" s="90">
        <f>ROUND(D128*F134,3)</f>
        <v>1.0680000000000001</v>
      </c>
    </row>
    <row r="136" spans="1:6">
      <c r="A136" s="84" t="s">
        <v>199</v>
      </c>
      <c r="E136" s="86" t="s">
        <v>200</v>
      </c>
      <c r="F136" s="90">
        <f>ROUND(C128*F135,3)</f>
        <v>1.125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181</v>
      </c>
      <c r="B139" s="279"/>
      <c r="C139" s="279"/>
      <c r="D139" s="279"/>
      <c r="E139" s="279"/>
      <c r="F139" s="279"/>
    </row>
    <row r="140" spans="1:6">
      <c r="A140" s="279" t="s">
        <v>345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170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  <c r="B145" s="84" t="s">
        <v>174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/>
    </row>
    <row r="147" spans="1:6">
      <c r="A147" s="85"/>
    </row>
    <row r="148" spans="1:6">
      <c r="A148" s="89" t="str">
        <f>A11</f>
        <v>12/31/2008</v>
      </c>
      <c r="B148" s="112">
        <v>7020821</v>
      </c>
      <c r="C148" s="112">
        <v>6915689</v>
      </c>
      <c r="D148" s="112">
        <v>6913189</v>
      </c>
      <c r="E148" s="112">
        <v>6909958</v>
      </c>
      <c r="F148" s="92"/>
    </row>
    <row r="149" spans="1:6">
      <c r="A149" s="89" t="str">
        <f t="shared" ref="A149:A154" si="21">A12</f>
        <v>12/31/2009</v>
      </c>
      <c r="B149" s="112">
        <v>7247384</v>
      </c>
      <c r="C149" s="112">
        <v>7251522</v>
      </c>
      <c r="D149" s="112">
        <v>7251522</v>
      </c>
      <c r="E149" s="112">
        <v>7251523</v>
      </c>
      <c r="F149" s="92"/>
    </row>
    <row r="150" spans="1:6">
      <c r="A150" s="89" t="str">
        <f t="shared" si="21"/>
        <v>12/31/2010</v>
      </c>
      <c r="B150" s="112">
        <v>10387556</v>
      </c>
      <c r="C150" s="112">
        <v>10387556</v>
      </c>
      <c r="D150" s="112">
        <v>10387556</v>
      </c>
      <c r="E150" s="112">
        <v>10391804</v>
      </c>
      <c r="F150" s="92"/>
    </row>
    <row r="151" spans="1:6">
      <c r="A151" s="89" t="str">
        <f t="shared" si="21"/>
        <v>12/31/2011</v>
      </c>
      <c r="B151" s="112">
        <v>13950729</v>
      </c>
      <c r="C151" s="112">
        <v>13957737</v>
      </c>
      <c r="D151" s="112">
        <v>13964018</v>
      </c>
      <c r="E151" s="112">
        <v>13964018</v>
      </c>
    </row>
    <row r="152" spans="1:6">
      <c r="A152" s="89" t="str">
        <f t="shared" si="21"/>
        <v>12/31/2012</v>
      </c>
      <c r="B152" s="112">
        <v>14036113</v>
      </c>
      <c r="C152" s="112">
        <v>14068515</v>
      </c>
      <c r="D152" s="112">
        <v>14068511</v>
      </c>
      <c r="E152" s="112"/>
    </row>
    <row r="153" spans="1:6">
      <c r="A153" s="89" t="str">
        <f t="shared" si="21"/>
        <v>12/31/2013</v>
      </c>
      <c r="B153" s="112">
        <v>15542259</v>
      </c>
      <c r="C153" s="112">
        <v>15542075</v>
      </c>
      <c r="D153" s="112"/>
      <c r="E153" s="112"/>
    </row>
    <row r="154" spans="1:6">
      <c r="A154" s="89" t="str">
        <f t="shared" si="21"/>
        <v>12/31/2014</v>
      </c>
      <c r="B154" s="112">
        <v>12149748</v>
      </c>
      <c r="C154" s="112"/>
      <c r="D154" s="112"/>
      <c r="E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/>
    </row>
    <row r="160" spans="1:6">
      <c r="A160" s="89" t="str">
        <f>A11</f>
        <v>12/31/2008</v>
      </c>
      <c r="B160" s="90">
        <f>B148/F99</f>
        <v>0.99647414302954884</v>
      </c>
      <c r="C160" s="90">
        <f>C148/B148</f>
        <v>0.98502568289378123</v>
      </c>
      <c r="D160" s="90">
        <f>D148/C148</f>
        <v>0.9996385031195012</v>
      </c>
      <c r="E160" s="90">
        <f>E148/D148</f>
        <v>0.99953263247974267</v>
      </c>
      <c r="F160" s="90"/>
    </row>
    <row r="161" spans="1:6">
      <c r="A161" s="89" t="str">
        <f t="shared" ref="A161:A166" si="22">A12</f>
        <v>12/31/2009</v>
      </c>
      <c r="B161" s="90">
        <f t="shared" ref="B161:B166" si="23">B149/F100</f>
        <v>1.0261338057423637</v>
      </c>
      <c r="C161" s="90">
        <f t="shared" ref="C161:E165" si="24">C149/B149</f>
        <v>1.0005709646404828</v>
      </c>
      <c r="D161" s="90">
        <f t="shared" si="24"/>
        <v>1</v>
      </c>
      <c r="E161" s="90">
        <f t="shared" si="24"/>
        <v>1.0000001379020846</v>
      </c>
      <c r="F161" s="90"/>
    </row>
    <row r="162" spans="1:6">
      <c r="A162" s="89" t="str">
        <f t="shared" si="22"/>
        <v>12/31/2010</v>
      </c>
      <c r="B162" s="90">
        <f t="shared" si="23"/>
        <v>1.0038239325024212</v>
      </c>
      <c r="C162" s="90">
        <f t="shared" si="24"/>
        <v>1</v>
      </c>
      <c r="D162" s="90">
        <f t="shared" si="24"/>
        <v>1</v>
      </c>
      <c r="E162" s="90">
        <f t="shared" si="24"/>
        <v>1.0004089508638991</v>
      </c>
      <c r="F162" s="90"/>
    </row>
    <row r="163" spans="1:6">
      <c r="A163" s="89" t="str">
        <f t="shared" si="22"/>
        <v>12/31/2011</v>
      </c>
      <c r="B163" s="90">
        <f t="shared" si="23"/>
        <v>1.0069675626862296</v>
      </c>
      <c r="C163" s="90">
        <f t="shared" si="24"/>
        <v>1.0005023393401162</v>
      </c>
      <c r="D163" s="90">
        <f t="shared" si="24"/>
        <v>1.0004500013146831</v>
      </c>
      <c r="E163" s="90">
        <f t="shared" si="24"/>
        <v>1</v>
      </c>
    </row>
    <row r="164" spans="1:6">
      <c r="A164" s="89" t="str">
        <f t="shared" si="22"/>
        <v>12/31/2012</v>
      </c>
      <c r="B164" s="90">
        <f t="shared" si="23"/>
        <v>0.99938546405687423</v>
      </c>
      <c r="C164" s="90">
        <f t="shared" si="24"/>
        <v>1.0023084738630987</v>
      </c>
      <c r="D164" s="90">
        <f t="shared" si="24"/>
        <v>0.99999971567716994</v>
      </c>
    </row>
    <row r="165" spans="1:6">
      <c r="A165" s="89" t="str">
        <f t="shared" si="22"/>
        <v>12/31/2013</v>
      </c>
      <c r="B165" s="90">
        <f t="shared" si="23"/>
        <v>1.0035805312495643</v>
      </c>
      <c r="C165" s="90">
        <f t="shared" si="24"/>
        <v>0.99998816130911217</v>
      </c>
    </row>
    <row r="166" spans="1:6">
      <c r="A166" s="89" t="str">
        <f t="shared" si="22"/>
        <v>12/31/2014</v>
      </c>
      <c r="B166" s="90">
        <f t="shared" si="23"/>
        <v>1.0055083968313332</v>
      </c>
    </row>
    <row r="168" spans="1:6">
      <c r="A168" s="84" t="s">
        <v>189</v>
      </c>
      <c r="B168" s="90">
        <f>(SUM(B162:B166)-MAX(B162:B166)-MIN(B162:B166))/3</f>
        <v>1.0043042868611065</v>
      </c>
      <c r="C168" s="90">
        <f>(SUM(C161:C165)-MAX(C161:C165)-MIN(C161:C165))/3</f>
        <v>1.0003577679935329</v>
      </c>
      <c r="D168" s="90">
        <f>(SUM(D160:D164)-MAX(D160:D164)-MIN(D160:D164))/3</f>
        <v>0.99999990522572313</v>
      </c>
      <c r="E168" s="90">
        <f>(SUM(E160:E163)-MAX(E160:E163)-MIN(E160:E163))/2</f>
        <v>1.0000000689510422</v>
      </c>
      <c r="F168" s="90"/>
    </row>
    <row r="169" spans="1:6">
      <c r="A169" s="84" t="s">
        <v>190</v>
      </c>
    </row>
    <row r="171" spans="1:6">
      <c r="C171" s="84" t="s">
        <v>180</v>
      </c>
      <c r="F171" s="90"/>
    </row>
    <row r="172" spans="1:6">
      <c r="A172" s="84" t="s">
        <v>213</v>
      </c>
      <c r="E172" s="86" t="s">
        <v>212</v>
      </c>
      <c r="F172" s="90">
        <v>1</v>
      </c>
    </row>
    <row r="173" spans="1:6">
      <c r="A173" s="84" t="s">
        <v>215</v>
      </c>
      <c r="E173" s="86" t="s">
        <v>222</v>
      </c>
      <c r="F173" s="90">
        <f>ROUND(E168*F172,3)</f>
        <v>1</v>
      </c>
    </row>
    <row r="174" spans="1:6">
      <c r="A174" s="84" t="s">
        <v>217</v>
      </c>
      <c r="E174" s="86" t="s">
        <v>223</v>
      </c>
      <c r="F174" s="90">
        <f>ROUND(D168*F173,3)</f>
        <v>1</v>
      </c>
    </row>
    <row r="175" spans="1:6">
      <c r="A175" s="84" t="s">
        <v>219</v>
      </c>
      <c r="E175" s="86" t="s">
        <v>224</v>
      </c>
      <c r="F175" s="90">
        <f>ROUND(C168*F174,3)</f>
        <v>1</v>
      </c>
    </row>
    <row r="176" spans="1:6">
      <c r="E176" s="86"/>
      <c r="F176" s="90"/>
    </row>
  </sheetData>
  <mergeCells count="16">
    <mergeCell ref="A142:F142"/>
    <mergeCell ref="A51:F51"/>
    <mergeCell ref="A52:F52"/>
    <mergeCell ref="A53:F53"/>
    <mergeCell ref="A90:F90"/>
    <mergeCell ref="A91:F91"/>
    <mergeCell ref="A92:F92"/>
    <mergeCell ref="A140:F140"/>
    <mergeCell ref="A141:F141"/>
    <mergeCell ref="A93:F93"/>
    <mergeCell ref="A139:F139"/>
    <mergeCell ref="A50:F50"/>
    <mergeCell ref="A2:F2"/>
    <mergeCell ref="A5:F5"/>
    <mergeCell ref="A3:F3"/>
    <mergeCell ref="A4:F4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zoomScaleNormal="100" workbookViewId="0"/>
  </sheetViews>
  <sheetFormatPr defaultRowHeight="13.15"/>
  <cols>
    <col min="1" max="1" width="20" style="84" customWidth="1"/>
    <col min="2" max="2" width="15" style="84" customWidth="1"/>
    <col min="3" max="3" width="15.1328125" style="84" customWidth="1"/>
    <col min="4" max="4" width="16.73046875" style="84" customWidth="1"/>
    <col min="5" max="5" width="14.1328125" style="84" customWidth="1"/>
    <col min="6" max="6" width="13.3984375" style="84" customWidth="1"/>
  </cols>
  <sheetData>
    <row r="1" spans="1:6">
      <c r="A1" s="83" t="s">
        <v>0</v>
      </c>
      <c r="B1" s="83"/>
      <c r="C1" s="83"/>
      <c r="D1" s="83"/>
      <c r="E1" s="83"/>
      <c r="F1" s="83"/>
    </row>
    <row r="2" spans="1:6">
      <c r="A2" s="279" t="s">
        <v>225</v>
      </c>
      <c r="B2" s="279"/>
      <c r="C2" s="279"/>
      <c r="D2" s="279"/>
      <c r="E2" s="279"/>
      <c r="F2" s="279"/>
    </row>
    <row r="3" spans="1:6">
      <c r="A3" s="279" t="s">
        <v>346</v>
      </c>
      <c r="B3" s="279"/>
      <c r="C3" s="279"/>
      <c r="D3" s="279"/>
      <c r="E3" s="279"/>
      <c r="F3" s="279"/>
    </row>
    <row r="4" spans="1:6">
      <c r="A4" s="279" t="s">
        <v>221</v>
      </c>
      <c r="B4" s="279"/>
      <c r="C4" s="279"/>
      <c r="D4" s="279"/>
      <c r="E4" s="279"/>
      <c r="F4" s="279"/>
    </row>
    <row r="5" spans="1:6">
      <c r="A5" s="279" t="s">
        <v>226</v>
      </c>
      <c r="B5" s="279"/>
      <c r="C5" s="279"/>
      <c r="D5" s="279"/>
      <c r="E5" s="279"/>
      <c r="F5" s="279"/>
    </row>
    <row r="7" spans="1:6">
      <c r="A7" s="85" t="s">
        <v>172</v>
      </c>
    </row>
    <row r="8" spans="1:6">
      <c r="A8" s="85" t="s">
        <v>173</v>
      </c>
    </row>
    <row r="9" spans="1:6">
      <c r="A9" s="87" t="s">
        <v>175</v>
      </c>
      <c r="B9" s="88" t="s">
        <v>176</v>
      </c>
      <c r="C9" s="88" t="s">
        <v>177</v>
      </c>
      <c r="D9" s="88" t="s">
        <v>178</v>
      </c>
      <c r="E9" s="88" t="s">
        <v>182</v>
      </c>
      <c r="F9" s="88" t="s">
        <v>183</v>
      </c>
    </row>
    <row r="10" spans="1:6">
      <c r="A10" s="85"/>
    </row>
    <row r="11" spans="1:6">
      <c r="A11" s="179" t="str">
        <f t="shared" ref="A11:A21" si="0">TEXT(DATE(YEAR(A12)-1,MONTH(A12),DAY(A12)),"mm/dd/yyyy")</f>
        <v>12/31/2008</v>
      </c>
      <c r="B11" s="112">
        <v>2579051</v>
      </c>
      <c r="C11" s="112">
        <v>2733153</v>
      </c>
      <c r="D11" s="112">
        <v>2839516</v>
      </c>
      <c r="E11" s="112">
        <v>2797262</v>
      </c>
      <c r="F11" s="112">
        <v>2797262</v>
      </c>
    </row>
    <row r="12" spans="1:6">
      <c r="A12" s="179" t="str">
        <f t="shared" si="0"/>
        <v>12/31/2009</v>
      </c>
      <c r="B12" s="112">
        <v>4175021</v>
      </c>
      <c r="C12" s="112">
        <v>4292461</v>
      </c>
      <c r="D12" s="112">
        <v>4279783</v>
      </c>
      <c r="E12" s="112">
        <v>4280934</v>
      </c>
      <c r="F12" s="112">
        <v>4278895</v>
      </c>
    </row>
    <row r="13" spans="1:6">
      <c r="A13" s="179" t="str">
        <f t="shared" si="0"/>
        <v>12/31/2010</v>
      </c>
      <c r="B13" s="112">
        <v>4511151</v>
      </c>
      <c r="C13" s="112">
        <v>5232751</v>
      </c>
      <c r="D13" s="112">
        <v>5217645</v>
      </c>
      <c r="E13" s="112">
        <v>5216728</v>
      </c>
      <c r="F13" s="112">
        <v>5216673</v>
      </c>
    </row>
    <row r="14" spans="1:6">
      <c r="A14" s="179" t="str">
        <f t="shared" si="0"/>
        <v>12/31/2011</v>
      </c>
      <c r="B14" s="112">
        <v>3880737</v>
      </c>
      <c r="C14" s="112">
        <v>3873917</v>
      </c>
      <c r="D14" s="112">
        <v>3883204</v>
      </c>
      <c r="E14" s="112">
        <v>3892246</v>
      </c>
      <c r="F14" s="112">
        <v>3895846</v>
      </c>
    </row>
    <row r="15" spans="1:6">
      <c r="A15" s="179" t="str">
        <f t="shared" si="0"/>
        <v>12/31/2012</v>
      </c>
      <c r="B15" s="112">
        <v>3819639</v>
      </c>
      <c r="C15" s="112">
        <v>3863287</v>
      </c>
      <c r="D15" s="112">
        <v>3868738</v>
      </c>
      <c r="E15" s="112">
        <v>3870781</v>
      </c>
      <c r="F15" s="112">
        <v>3870781</v>
      </c>
    </row>
    <row r="16" spans="1:6">
      <c r="A16" s="179" t="str">
        <f t="shared" si="0"/>
        <v>12/31/2013</v>
      </c>
      <c r="B16" s="112">
        <v>1863478</v>
      </c>
      <c r="C16" s="112">
        <v>2162007</v>
      </c>
      <c r="D16" s="112">
        <v>2162797</v>
      </c>
      <c r="E16" s="112">
        <v>2162863</v>
      </c>
      <c r="F16" s="112">
        <v>2162935</v>
      </c>
    </row>
    <row r="17" spans="1:6">
      <c r="A17" s="179" t="str">
        <f t="shared" si="0"/>
        <v>12/31/2014</v>
      </c>
      <c r="B17" s="112">
        <v>1547389</v>
      </c>
      <c r="C17" s="112">
        <v>1778780</v>
      </c>
      <c r="D17" s="112">
        <v>1792223</v>
      </c>
      <c r="E17" s="112">
        <v>1850506</v>
      </c>
      <c r="F17" s="112">
        <v>1848548</v>
      </c>
    </row>
    <row r="18" spans="1:6">
      <c r="A18" s="179" t="str">
        <f t="shared" si="0"/>
        <v>12/31/2015</v>
      </c>
      <c r="B18" s="112">
        <v>2221852</v>
      </c>
      <c r="C18" s="112">
        <v>2370054</v>
      </c>
      <c r="D18" s="112">
        <v>2379152</v>
      </c>
      <c r="E18" s="112">
        <v>2379152</v>
      </c>
      <c r="F18" s="112">
        <v>2379152</v>
      </c>
    </row>
    <row r="19" spans="1:6">
      <c r="A19" s="179" t="str">
        <f t="shared" si="0"/>
        <v>12/31/2016</v>
      </c>
      <c r="B19" s="112">
        <v>2392019</v>
      </c>
      <c r="C19" s="112">
        <v>2622959</v>
      </c>
      <c r="D19" s="112">
        <v>2646194</v>
      </c>
      <c r="E19" s="112">
        <v>2647530</v>
      </c>
      <c r="F19" s="112"/>
    </row>
    <row r="20" spans="1:6">
      <c r="A20" s="179" t="str">
        <f t="shared" si="0"/>
        <v>12/31/2017</v>
      </c>
      <c r="B20" s="112">
        <v>2632475</v>
      </c>
      <c r="C20" s="112">
        <v>2714758</v>
      </c>
      <c r="D20" s="112">
        <v>2736770</v>
      </c>
      <c r="E20" s="112"/>
      <c r="F20" s="112"/>
    </row>
    <row r="21" spans="1:6">
      <c r="A21" s="179" t="str">
        <f t="shared" si="0"/>
        <v>12/31/2018</v>
      </c>
      <c r="B21" s="112">
        <v>2251662</v>
      </c>
      <c r="C21" s="112">
        <v>2370587</v>
      </c>
      <c r="D21" s="112"/>
      <c r="E21" s="112"/>
      <c r="F21" s="112"/>
    </row>
    <row r="22" spans="1:6">
      <c r="A22" s="179" t="str">
        <f>TEXT("12/31/2019","mm/dd/yyyy")</f>
        <v>12/31/2019</v>
      </c>
      <c r="B22" s="112">
        <v>1778613</v>
      </c>
      <c r="C22" s="112"/>
      <c r="D22" s="112"/>
      <c r="E22" s="112"/>
      <c r="F22" s="112"/>
    </row>
    <row r="24" spans="1:6">
      <c r="D24" s="84" t="s">
        <v>184</v>
      </c>
    </row>
    <row r="25" spans="1:6">
      <c r="A25" s="85" t="s">
        <v>172</v>
      </c>
    </row>
    <row r="26" spans="1:6">
      <c r="A26" s="85" t="s">
        <v>173</v>
      </c>
    </row>
    <row r="27" spans="1:6">
      <c r="A27" s="87" t="s">
        <v>175</v>
      </c>
      <c r="C27" s="91" t="s">
        <v>185</v>
      </c>
      <c r="D27" s="91" t="s">
        <v>186</v>
      </c>
      <c r="E27" s="91" t="s">
        <v>187</v>
      </c>
      <c r="F27" s="91" t="s">
        <v>188</v>
      </c>
    </row>
    <row r="28" spans="1:6">
      <c r="A28" s="89" t="str">
        <f>A11</f>
        <v>12/31/2008</v>
      </c>
      <c r="C28" s="90">
        <f>C11/B11</f>
        <v>1.0597514357025122</v>
      </c>
      <c r="D28" s="90">
        <f t="shared" ref="D28:F37" si="1">D11/C11</f>
        <v>1.0389158601805315</v>
      </c>
      <c r="E28" s="90">
        <f t="shared" si="1"/>
        <v>0.98511929497843997</v>
      </c>
      <c r="F28" s="90">
        <f t="shared" si="1"/>
        <v>1</v>
      </c>
    </row>
    <row r="29" spans="1:6">
      <c r="A29" s="89" t="str">
        <f t="shared" ref="A29:A38" si="2">A12</f>
        <v>12/31/2009</v>
      </c>
      <c r="C29" s="90">
        <f t="shared" ref="C29:C38" si="3">C12/B12</f>
        <v>1.0281291998291746</v>
      </c>
      <c r="D29" s="90">
        <f t="shared" si="1"/>
        <v>0.99704644957752675</v>
      </c>
      <c r="E29" s="90">
        <f t="shared" si="1"/>
        <v>1.0002689388690968</v>
      </c>
      <c r="F29" s="90">
        <f t="shared" si="1"/>
        <v>0.99952370207062291</v>
      </c>
    </row>
    <row r="30" spans="1:6">
      <c r="A30" s="89" t="str">
        <f t="shared" si="2"/>
        <v>12/31/2010</v>
      </c>
      <c r="C30" s="90">
        <f t="shared" si="3"/>
        <v>1.1599591767156541</v>
      </c>
      <c r="D30" s="90">
        <f t="shared" si="1"/>
        <v>0.99711318195725351</v>
      </c>
      <c r="E30" s="90">
        <f t="shared" si="1"/>
        <v>0.9998242502125001</v>
      </c>
      <c r="F30" s="90">
        <f t="shared" si="1"/>
        <v>0.99998945699296571</v>
      </c>
    </row>
    <row r="31" spans="1:6">
      <c r="A31" s="89" t="str">
        <f t="shared" si="2"/>
        <v>12/31/2011</v>
      </c>
      <c r="C31" s="90">
        <f t="shared" si="3"/>
        <v>0.99824260185629687</v>
      </c>
      <c r="D31" s="90">
        <f t="shared" si="1"/>
        <v>1.0023973151722145</v>
      </c>
      <c r="E31" s="90">
        <f t="shared" si="1"/>
        <v>1.0023284895668629</v>
      </c>
      <c r="F31" s="90">
        <f t="shared" si="1"/>
        <v>1.000924915845504</v>
      </c>
    </row>
    <row r="32" spans="1:6">
      <c r="A32" s="89" t="str">
        <f t="shared" si="2"/>
        <v>12/31/2012</v>
      </c>
      <c r="C32" s="90">
        <f t="shared" si="3"/>
        <v>1.0114272579162586</v>
      </c>
      <c r="D32" s="90">
        <f t="shared" si="1"/>
        <v>1.0014109746441309</v>
      </c>
      <c r="E32" s="90">
        <f t="shared" si="1"/>
        <v>1.0005280791824105</v>
      </c>
      <c r="F32" s="90">
        <f t="shared" si="1"/>
        <v>1</v>
      </c>
    </row>
    <row r="33" spans="1:6">
      <c r="A33" s="89" t="str">
        <f t="shared" si="2"/>
        <v>12/31/2013</v>
      </c>
      <c r="C33" s="90">
        <f t="shared" si="3"/>
        <v>1.1601999057676022</v>
      </c>
      <c r="D33" s="90">
        <f t="shared" si="1"/>
        <v>1.0003654012221053</v>
      </c>
      <c r="E33" s="90">
        <f t="shared" si="1"/>
        <v>1.0000305160401091</v>
      </c>
      <c r="F33" s="90">
        <f t="shared" si="1"/>
        <v>1.0000332892097188</v>
      </c>
    </row>
    <row r="34" spans="1:6">
      <c r="A34" s="89" t="str">
        <f t="shared" si="2"/>
        <v>12/31/2014</v>
      </c>
      <c r="C34" s="90">
        <f t="shared" si="3"/>
        <v>1.1495364126279817</v>
      </c>
      <c r="D34" s="90">
        <f t="shared" si="1"/>
        <v>1.0075574270005285</v>
      </c>
      <c r="E34" s="90">
        <f t="shared" si="1"/>
        <v>1.032519948689421</v>
      </c>
      <c r="F34" s="90">
        <f t="shared" si="1"/>
        <v>0.99894191102325525</v>
      </c>
    </row>
    <row r="35" spans="1:6">
      <c r="A35" s="89" t="str">
        <f t="shared" si="2"/>
        <v>12/31/2015</v>
      </c>
      <c r="C35" s="90">
        <f t="shared" si="3"/>
        <v>1.0667020125552917</v>
      </c>
      <c r="D35" s="90">
        <f t="shared" si="1"/>
        <v>1.0038387311006416</v>
      </c>
      <c r="E35" s="90">
        <f t="shared" si="1"/>
        <v>1</v>
      </c>
      <c r="F35" s="90">
        <f t="shared" si="1"/>
        <v>1</v>
      </c>
    </row>
    <row r="36" spans="1:6">
      <c r="A36" s="89" t="str">
        <f t="shared" si="2"/>
        <v>12/31/2016</v>
      </c>
      <c r="C36" s="90">
        <f t="shared" si="3"/>
        <v>1.0965460558632687</v>
      </c>
      <c r="D36" s="90">
        <f t="shared" si="1"/>
        <v>1.0088583161231266</v>
      </c>
      <c r="E36" s="90">
        <f t="shared" si="1"/>
        <v>1.0005048760597295</v>
      </c>
    </row>
    <row r="37" spans="1:6">
      <c r="A37" s="89" t="str">
        <f t="shared" si="2"/>
        <v>12/31/2017</v>
      </c>
      <c r="C37" s="90">
        <f t="shared" si="3"/>
        <v>1.0312568970265625</v>
      </c>
      <c r="D37" s="90">
        <f t="shared" si="1"/>
        <v>1.0081082733709599</v>
      </c>
    </row>
    <row r="38" spans="1:6">
      <c r="A38" s="89" t="str">
        <f t="shared" si="2"/>
        <v>12/31/2018</v>
      </c>
      <c r="C38" s="90">
        <f t="shared" si="3"/>
        <v>1.0528165417367261</v>
      </c>
    </row>
    <row r="40" spans="1:6">
      <c r="A40" s="84" t="s">
        <v>189</v>
      </c>
      <c r="C40" s="90">
        <f>(SUM(C34:C38)-MAX(C34:C38)-MIN(C34:C38))/3</f>
        <v>1.0720215367184289</v>
      </c>
      <c r="D40" s="90">
        <f>(SUM(D33:D37)-MAX(D33:D37)-MIN(D33:D37))/3</f>
        <v>1.0065014771573766</v>
      </c>
      <c r="E40" s="90">
        <f>(SUM(E32:E36)-MAX(E32:E36)-MIN(E32:E36))/3</f>
        <v>1.0003544904274164</v>
      </c>
      <c r="F40" s="90">
        <f>(SUM(F31:F35)-MAX(F31:F35)-MIN(F31:F35))/3</f>
        <v>1.0000110964032396</v>
      </c>
    </row>
    <row r="41" spans="1:6">
      <c r="A41" s="84" t="s">
        <v>190</v>
      </c>
    </row>
    <row r="43" spans="1:6">
      <c r="C43" s="84" t="s">
        <v>180</v>
      </c>
    </row>
    <row r="44" spans="1:6">
      <c r="A44" s="84" t="s">
        <v>191</v>
      </c>
      <c r="E44" s="86" t="s">
        <v>192</v>
      </c>
      <c r="F44" s="90">
        <f>ROUND(B79*F87,3)</f>
        <v>0.999</v>
      </c>
    </row>
    <row r="45" spans="1:6">
      <c r="A45" s="84" t="s">
        <v>193</v>
      </c>
      <c r="E45" s="86" t="s">
        <v>194</v>
      </c>
      <c r="F45" s="90">
        <f>ROUND(F40*F44,3)</f>
        <v>0.999</v>
      </c>
    </row>
    <row r="46" spans="1:6">
      <c r="A46" s="84" t="s">
        <v>195</v>
      </c>
      <c r="E46" s="86" t="s">
        <v>196</v>
      </c>
      <c r="F46" s="90">
        <f>ROUND(E40*F45,3)</f>
        <v>0.999</v>
      </c>
    </row>
    <row r="47" spans="1:6">
      <c r="A47" s="84" t="s">
        <v>197</v>
      </c>
      <c r="E47" s="86" t="s">
        <v>198</v>
      </c>
      <c r="F47" s="90">
        <f>ROUND(D40*F46,3)</f>
        <v>1.0049999999999999</v>
      </c>
    </row>
    <row r="48" spans="1:6">
      <c r="A48" s="84" t="s">
        <v>199</v>
      </c>
      <c r="E48" s="86" t="s">
        <v>200</v>
      </c>
      <c r="F48" s="90">
        <f>ROUND(C40*F47,3)</f>
        <v>1.077</v>
      </c>
    </row>
    <row r="49" spans="1:6">
      <c r="A49" s="83" t="s">
        <v>0</v>
      </c>
      <c r="B49" s="83"/>
      <c r="C49" s="83"/>
      <c r="D49" s="83"/>
      <c r="E49" s="83"/>
      <c r="F49" s="83"/>
    </row>
    <row r="50" spans="1:6">
      <c r="A50" s="279" t="s">
        <v>225</v>
      </c>
      <c r="B50" s="279"/>
      <c r="C50" s="279"/>
      <c r="D50" s="279"/>
      <c r="E50" s="279"/>
      <c r="F50" s="279"/>
    </row>
    <row r="51" spans="1:6">
      <c r="A51" s="279" t="s">
        <v>346</v>
      </c>
      <c r="B51" s="279"/>
      <c r="C51" s="279"/>
      <c r="D51" s="279"/>
      <c r="E51" s="279"/>
      <c r="F51" s="279"/>
    </row>
    <row r="52" spans="1:6">
      <c r="A52" s="279" t="s">
        <v>221</v>
      </c>
      <c r="B52" s="279"/>
      <c r="C52" s="279"/>
      <c r="D52" s="279"/>
      <c r="E52" s="279"/>
      <c r="F52" s="279"/>
    </row>
    <row r="53" spans="1:6">
      <c r="A53" s="279" t="s">
        <v>226</v>
      </c>
      <c r="B53" s="279"/>
      <c r="C53" s="279"/>
      <c r="D53" s="279"/>
      <c r="E53" s="279"/>
      <c r="F53" s="279"/>
    </row>
    <row r="55" spans="1:6">
      <c r="A55" s="85" t="s">
        <v>172</v>
      </c>
    </row>
    <row r="56" spans="1:6">
      <c r="A56" s="85" t="s">
        <v>173</v>
      </c>
    </row>
    <row r="57" spans="1:6">
      <c r="A57" s="87" t="s">
        <v>175</v>
      </c>
      <c r="B57" s="88" t="s">
        <v>201</v>
      </c>
      <c r="C57" s="88" t="s">
        <v>202</v>
      </c>
      <c r="D57" s="88" t="s">
        <v>203</v>
      </c>
      <c r="E57" s="88" t="s">
        <v>204</v>
      </c>
      <c r="F57" s="88" t="s">
        <v>205</v>
      </c>
    </row>
    <row r="58" spans="1:6">
      <c r="A58" s="85"/>
    </row>
    <row r="59" spans="1:6">
      <c r="A59" s="89" t="str">
        <f>A28</f>
        <v>12/31/2008</v>
      </c>
      <c r="B59" s="112">
        <v>2797262</v>
      </c>
      <c r="C59" s="112">
        <v>2804313</v>
      </c>
      <c r="D59" s="112">
        <v>2804313</v>
      </c>
      <c r="E59" s="112">
        <v>2804313</v>
      </c>
      <c r="F59" s="112">
        <v>2804313</v>
      </c>
    </row>
    <row r="60" spans="1:6">
      <c r="A60" s="89" t="str">
        <f t="shared" ref="A60:A65" si="4">A12</f>
        <v>12/31/2009</v>
      </c>
      <c r="B60" s="112">
        <v>4275848</v>
      </c>
      <c r="C60" s="112">
        <v>4275848</v>
      </c>
      <c r="D60" s="112">
        <v>4277557</v>
      </c>
      <c r="E60" s="112">
        <v>4277557</v>
      </c>
      <c r="F60" s="112">
        <v>4277557</v>
      </c>
    </row>
    <row r="61" spans="1:6">
      <c r="A61" s="89" t="str">
        <f t="shared" si="4"/>
        <v>12/31/2010</v>
      </c>
      <c r="B61" s="112">
        <v>5194691</v>
      </c>
      <c r="C61" s="112">
        <v>5194691</v>
      </c>
      <c r="D61" s="112">
        <v>5194691</v>
      </c>
      <c r="E61" s="112">
        <v>5194691</v>
      </c>
      <c r="F61" s="112">
        <v>5194691</v>
      </c>
    </row>
    <row r="62" spans="1:6">
      <c r="A62" s="89" t="str">
        <f t="shared" si="4"/>
        <v>12/31/2011</v>
      </c>
      <c r="B62" s="112">
        <v>3866517</v>
      </c>
      <c r="C62" s="112">
        <v>3866517</v>
      </c>
      <c r="D62" s="112">
        <v>3889090</v>
      </c>
      <c r="E62" s="112">
        <v>3889090</v>
      </c>
      <c r="F62" s="112"/>
    </row>
    <row r="63" spans="1:6">
      <c r="A63" s="89" t="str">
        <f t="shared" si="4"/>
        <v>12/31/2012</v>
      </c>
      <c r="B63" s="112">
        <v>3870781</v>
      </c>
      <c r="C63" s="112">
        <v>3870781</v>
      </c>
      <c r="D63" s="112">
        <v>3872524</v>
      </c>
      <c r="E63" s="112"/>
      <c r="F63" s="112"/>
    </row>
    <row r="64" spans="1:6">
      <c r="A64" s="89" t="str">
        <f t="shared" si="4"/>
        <v>12/31/2013</v>
      </c>
      <c r="B64" s="112">
        <v>2162935</v>
      </c>
      <c r="C64" s="112">
        <v>2162935</v>
      </c>
      <c r="D64" s="112"/>
      <c r="E64" s="112"/>
      <c r="F64" s="112"/>
    </row>
    <row r="65" spans="1:6">
      <c r="A65" s="89" t="str">
        <f t="shared" si="4"/>
        <v>12/31/2014</v>
      </c>
      <c r="B65" s="112">
        <v>1848657</v>
      </c>
      <c r="C65" s="112"/>
      <c r="D65" s="112"/>
      <c r="E65" s="112"/>
      <c r="F65" s="112"/>
    </row>
    <row r="66" spans="1:6">
      <c r="B66" s="92"/>
    </row>
    <row r="67" spans="1:6">
      <c r="D67" s="84" t="s">
        <v>184</v>
      </c>
    </row>
    <row r="68" spans="1:6">
      <c r="A68" s="85" t="s">
        <v>172</v>
      </c>
    </row>
    <row r="69" spans="1:6">
      <c r="A69" s="85" t="s">
        <v>173</v>
      </c>
    </row>
    <row r="70" spans="1:6">
      <c r="A70" s="87" t="s">
        <v>175</v>
      </c>
      <c r="B70" s="91" t="s">
        <v>206</v>
      </c>
      <c r="C70" s="91" t="s">
        <v>207</v>
      </c>
      <c r="D70" s="91" t="s">
        <v>208</v>
      </c>
      <c r="E70" s="91" t="s">
        <v>209</v>
      </c>
      <c r="F70" s="91" t="s">
        <v>210</v>
      </c>
    </row>
    <row r="71" spans="1:6">
      <c r="A71" s="89" t="str">
        <f t="shared" ref="A71:A77" si="5">A59</f>
        <v>12/31/2008</v>
      </c>
      <c r="B71" s="90">
        <f>B59/F11</f>
        <v>1</v>
      </c>
      <c r="C71" s="90">
        <f>C59/B59</f>
        <v>1.0025206791498258</v>
      </c>
      <c r="D71" s="90">
        <f t="shared" ref="D71:F75" si="6">D59/C59</f>
        <v>1</v>
      </c>
      <c r="E71" s="90">
        <f t="shared" si="6"/>
        <v>1</v>
      </c>
      <c r="F71" s="90">
        <f t="shared" si="6"/>
        <v>1</v>
      </c>
    </row>
    <row r="72" spans="1:6">
      <c r="A72" s="89" t="str">
        <f t="shared" si="5"/>
        <v>12/31/2009</v>
      </c>
      <c r="B72" s="90">
        <f t="shared" ref="B72:B77" si="7">B60/F12</f>
        <v>0.99928790026397007</v>
      </c>
      <c r="C72" s="90">
        <f t="shared" ref="C72:C76" si="8">C60/B60</f>
        <v>1</v>
      </c>
      <c r="D72" s="90">
        <f t="shared" si="6"/>
        <v>1.0003996867989695</v>
      </c>
      <c r="E72" s="90">
        <f t="shared" si="6"/>
        <v>1</v>
      </c>
      <c r="F72" s="90">
        <f t="shared" si="6"/>
        <v>1</v>
      </c>
    </row>
    <row r="73" spans="1:6">
      <c r="A73" s="89" t="str">
        <f t="shared" si="5"/>
        <v>12/31/2010</v>
      </c>
      <c r="B73" s="90">
        <f t="shared" si="7"/>
        <v>0.99578620319885869</v>
      </c>
      <c r="C73" s="90">
        <f t="shared" si="8"/>
        <v>1</v>
      </c>
      <c r="D73" s="90">
        <f t="shared" si="6"/>
        <v>1</v>
      </c>
      <c r="E73" s="90">
        <f t="shared" si="6"/>
        <v>1</v>
      </c>
      <c r="F73" s="90">
        <f t="shared" si="6"/>
        <v>1</v>
      </c>
    </row>
    <row r="74" spans="1:6">
      <c r="A74" s="89" t="str">
        <f t="shared" si="5"/>
        <v>12/31/2011</v>
      </c>
      <c r="B74" s="90">
        <f t="shared" si="7"/>
        <v>0.99247172501171765</v>
      </c>
      <c r="C74" s="90">
        <f t="shared" si="8"/>
        <v>1</v>
      </c>
      <c r="D74" s="90">
        <f t="shared" si="6"/>
        <v>1.0058380708011887</v>
      </c>
      <c r="E74" s="90">
        <f t="shared" si="6"/>
        <v>1</v>
      </c>
    </row>
    <row r="75" spans="1:6">
      <c r="A75" s="89" t="str">
        <f t="shared" si="5"/>
        <v>12/31/2012</v>
      </c>
      <c r="B75" s="90">
        <f t="shared" si="7"/>
        <v>1</v>
      </c>
      <c r="C75" s="90">
        <f t="shared" si="8"/>
        <v>1</v>
      </c>
      <c r="D75" s="90">
        <f t="shared" si="6"/>
        <v>1.0004502967230644</v>
      </c>
    </row>
    <row r="76" spans="1:6">
      <c r="A76" s="89" t="str">
        <f t="shared" si="5"/>
        <v>12/31/2013</v>
      </c>
      <c r="B76" s="90">
        <f t="shared" si="7"/>
        <v>1</v>
      </c>
      <c r="C76" s="90">
        <f t="shared" si="8"/>
        <v>1</v>
      </c>
    </row>
    <row r="77" spans="1:6">
      <c r="A77" s="89" t="str">
        <f t="shared" si="5"/>
        <v>12/31/2014</v>
      </c>
      <c r="B77" s="90">
        <f t="shared" si="7"/>
        <v>1.0000589651986316</v>
      </c>
    </row>
    <row r="79" spans="1:6">
      <c r="A79" s="84" t="s">
        <v>189</v>
      </c>
      <c r="B79" s="90">
        <f>(SUM(B73:B77)-MAX(B73:B77)-MIN(B73:B77))/3</f>
        <v>0.99859540106628641</v>
      </c>
      <c r="C79" s="90">
        <f>(SUM(C72:C76)-MAX(C72:C76)-MIN(C72:C76))/3</f>
        <v>1</v>
      </c>
      <c r="D79" s="90">
        <f>(SUM(D71:D75)-MAX(D71:D75)-MIN(D71:D75))/3</f>
        <v>1.000283327840678</v>
      </c>
      <c r="E79" s="90">
        <f>(SUM(E71:E74)-MAX(E71:E74)-MIN(E71:E74))/(COUNT(E71:E74)-2)</f>
        <v>1</v>
      </c>
      <c r="F79" s="90">
        <f>SUM(F71:F73)/3</f>
        <v>1</v>
      </c>
    </row>
    <row r="80" spans="1:6">
      <c r="A80" s="84" t="s">
        <v>190</v>
      </c>
    </row>
    <row r="82" spans="1:6">
      <c r="C82" s="84" t="s">
        <v>180</v>
      </c>
    </row>
    <row r="83" spans="1:6">
      <c r="A83" s="84" t="s">
        <v>211</v>
      </c>
      <c r="E83" s="86" t="s">
        <v>212</v>
      </c>
      <c r="F83" s="90">
        <v>1</v>
      </c>
    </row>
    <row r="84" spans="1:6">
      <c r="A84" s="84" t="s">
        <v>213</v>
      </c>
      <c r="E84" s="86" t="s">
        <v>214</v>
      </c>
      <c r="F84" s="90">
        <f>ROUND(F79*F83,3)</f>
        <v>1</v>
      </c>
    </row>
    <row r="85" spans="1:6">
      <c r="A85" s="84" t="s">
        <v>215</v>
      </c>
      <c r="E85" s="86" t="s">
        <v>216</v>
      </c>
      <c r="F85" s="90">
        <f>ROUND(E79*F84,3)</f>
        <v>1</v>
      </c>
    </row>
    <row r="86" spans="1:6">
      <c r="A86" s="84" t="s">
        <v>217</v>
      </c>
      <c r="E86" s="86" t="s">
        <v>218</v>
      </c>
      <c r="F86" s="90">
        <f>ROUND(D79*F85,3)</f>
        <v>1</v>
      </c>
    </row>
    <row r="87" spans="1:6">
      <c r="A87" s="84" t="s">
        <v>219</v>
      </c>
      <c r="E87" s="86" t="s">
        <v>220</v>
      </c>
      <c r="F87" s="90">
        <f>ROUND(C79*F86,3)</f>
        <v>1</v>
      </c>
    </row>
    <row r="89" spans="1:6">
      <c r="A89" s="83" t="s">
        <v>0</v>
      </c>
      <c r="B89" s="83"/>
      <c r="C89" s="83"/>
      <c r="D89" s="83"/>
      <c r="E89" s="83"/>
      <c r="F89" s="83"/>
    </row>
    <row r="90" spans="1:6">
      <c r="A90" s="279" t="s">
        <v>225</v>
      </c>
      <c r="B90" s="279"/>
      <c r="C90" s="279"/>
      <c r="D90" s="279"/>
      <c r="E90" s="279"/>
      <c r="F90" s="279"/>
    </row>
    <row r="91" spans="1:6">
      <c r="A91" s="279" t="s">
        <v>347</v>
      </c>
      <c r="B91" s="279"/>
      <c r="C91" s="279"/>
      <c r="D91" s="279"/>
      <c r="E91" s="279"/>
      <c r="F91" s="279"/>
    </row>
    <row r="92" spans="1:6">
      <c r="A92" s="279" t="s">
        <v>221</v>
      </c>
      <c r="B92" s="279"/>
      <c r="C92" s="279"/>
      <c r="D92" s="279"/>
      <c r="E92" s="279"/>
      <c r="F92" s="279"/>
    </row>
    <row r="93" spans="1:6">
      <c r="A93" s="279" t="s">
        <v>226</v>
      </c>
      <c r="B93" s="279"/>
      <c r="C93" s="279"/>
      <c r="D93" s="279"/>
      <c r="E93" s="279"/>
      <c r="F93" s="279"/>
    </row>
    <row r="95" spans="1:6">
      <c r="A95" s="85" t="s">
        <v>172</v>
      </c>
    </row>
    <row r="96" spans="1:6">
      <c r="A96" s="85" t="s">
        <v>173</v>
      </c>
    </row>
    <row r="97" spans="1:6">
      <c r="A97" s="87" t="s">
        <v>175</v>
      </c>
      <c r="B97" s="88" t="s">
        <v>176</v>
      </c>
      <c r="C97" s="88" t="s">
        <v>177</v>
      </c>
      <c r="D97" s="88" t="s">
        <v>178</v>
      </c>
      <c r="E97" s="88" t="s">
        <v>182</v>
      </c>
      <c r="F97" s="88" t="s">
        <v>183</v>
      </c>
    </row>
    <row r="98" spans="1:6">
      <c r="A98" s="85"/>
    </row>
    <row r="99" spans="1:6">
      <c r="A99" s="89" t="str">
        <f>A11</f>
        <v>12/31/2008</v>
      </c>
      <c r="B99" s="112">
        <v>7440284</v>
      </c>
      <c r="C99" s="112">
        <v>7453298</v>
      </c>
      <c r="D99" s="112">
        <v>7188063</v>
      </c>
      <c r="E99" s="112">
        <v>7272320</v>
      </c>
      <c r="F99" s="112">
        <v>7272320</v>
      </c>
    </row>
    <row r="100" spans="1:6">
      <c r="A100" s="89" t="str">
        <f t="shared" ref="A100:A110" si="9">A12</f>
        <v>12/31/2009</v>
      </c>
      <c r="B100" s="112">
        <v>7792416</v>
      </c>
      <c r="C100" s="112">
        <v>7686499</v>
      </c>
      <c r="D100" s="112">
        <v>7617873</v>
      </c>
      <c r="E100" s="112">
        <v>7520330</v>
      </c>
      <c r="F100" s="112">
        <v>7527717</v>
      </c>
    </row>
    <row r="101" spans="1:6">
      <c r="A101" s="89" t="str">
        <f t="shared" si="9"/>
        <v>12/31/2010</v>
      </c>
      <c r="B101" s="112">
        <v>11995811</v>
      </c>
      <c r="C101" s="112">
        <v>11965268</v>
      </c>
      <c r="D101" s="112">
        <v>11852859</v>
      </c>
      <c r="E101" s="112">
        <v>11806866</v>
      </c>
      <c r="F101" s="112">
        <v>11845519</v>
      </c>
    </row>
    <row r="102" spans="1:6">
      <c r="A102" s="89" t="str">
        <f t="shared" si="9"/>
        <v>12/31/2011</v>
      </c>
      <c r="B102" s="112">
        <v>11870769</v>
      </c>
      <c r="C102" s="112">
        <v>11860050</v>
      </c>
      <c r="D102" s="112">
        <v>11835959</v>
      </c>
      <c r="E102" s="112">
        <v>11839700</v>
      </c>
      <c r="F102" s="112">
        <v>11811177</v>
      </c>
    </row>
    <row r="103" spans="1:6">
      <c r="A103" s="89" t="str">
        <f t="shared" si="9"/>
        <v>12/31/2012</v>
      </c>
      <c r="B103" s="112">
        <v>13750113</v>
      </c>
      <c r="C103" s="112">
        <v>13723162</v>
      </c>
      <c r="D103" s="112">
        <v>14086159</v>
      </c>
      <c r="E103" s="112">
        <v>14043794</v>
      </c>
      <c r="F103" s="112">
        <v>14400312</v>
      </c>
    </row>
    <row r="104" spans="1:6">
      <c r="A104" s="89" t="str">
        <f t="shared" si="9"/>
        <v>12/31/2013</v>
      </c>
      <c r="B104" s="112">
        <v>12866932</v>
      </c>
      <c r="C104" s="112">
        <v>12858319</v>
      </c>
      <c r="D104" s="112">
        <v>12887183</v>
      </c>
      <c r="E104" s="112">
        <v>12869299</v>
      </c>
      <c r="F104" s="112">
        <v>12869518</v>
      </c>
    </row>
    <row r="105" spans="1:6">
      <c r="A105" s="89" t="str">
        <f t="shared" si="9"/>
        <v>12/31/2014</v>
      </c>
      <c r="B105" s="112">
        <v>11453590</v>
      </c>
      <c r="C105" s="112">
        <v>11292119</v>
      </c>
      <c r="D105" s="112">
        <v>11243674</v>
      </c>
      <c r="E105" s="112">
        <v>11247000</v>
      </c>
      <c r="F105" s="112">
        <v>11250419</v>
      </c>
    </row>
    <row r="106" spans="1:6">
      <c r="A106" s="89" t="str">
        <f t="shared" si="9"/>
        <v>12/31/2015</v>
      </c>
      <c r="B106" s="112">
        <v>7998711</v>
      </c>
      <c r="C106" s="112">
        <v>7794797</v>
      </c>
      <c r="D106" s="112">
        <v>7771294</v>
      </c>
      <c r="E106" s="112">
        <v>7705816</v>
      </c>
      <c r="F106" s="112">
        <v>7683102</v>
      </c>
    </row>
    <row r="107" spans="1:6">
      <c r="A107" s="89" t="str">
        <f t="shared" si="9"/>
        <v>12/31/2016</v>
      </c>
      <c r="B107" s="112">
        <v>8893221</v>
      </c>
      <c r="C107" s="112">
        <v>9427504</v>
      </c>
      <c r="D107" s="112">
        <v>9413889</v>
      </c>
      <c r="E107" s="112">
        <v>9273944</v>
      </c>
      <c r="F107" s="112"/>
    </row>
    <row r="108" spans="1:6">
      <c r="A108" s="89" t="str">
        <f t="shared" si="9"/>
        <v>12/31/2017</v>
      </c>
      <c r="B108" s="112">
        <v>9361157</v>
      </c>
      <c r="C108" s="112">
        <v>9589387</v>
      </c>
      <c r="D108" s="112">
        <v>9564804</v>
      </c>
      <c r="E108" s="112"/>
      <c r="F108" s="112"/>
    </row>
    <row r="109" spans="1:6">
      <c r="A109" s="89" t="str">
        <f t="shared" si="9"/>
        <v>12/31/2018</v>
      </c>
      <c r="B109" s="112">
        <v>7345261</v>
      </c>
      <c r="C109" s="112">
        <v>7013676</v>
      </c>
      <c r="D109" s="112"/>
      <c r="E109" s="112"/>
      <c r="F109" s="112"/>
    </row>
    <row r="110" spans="1:6">
      <c r="A110" s="89" t="str">
        <f t="shared" si="9"/>
        <v>12/31/2019</v>
      </c>
      <c r="B110" s="112">
        <v>8138726</v>
      </c>
      <c r="C110" s="112"/>
      <c r="D110" s="112"/>
      <c r="E110" s="112"/>
      <c r="F110" s="112"/>
    </row>
    <row r="111" spans="1:6">
      <c r="B111" s="84" t="s">
        <v>240</v>
      </c>
    </row>
    <row r="112" spans="1:6">
      <c r="D112" s="84" t="s">
        <v>184</v>
      </c>
    </row>
    <row r="113" spans="1:6">
      <c r="A113" s="85" t="s">
        <v>172</v>
      </c>
    </row>
    <row r="114" spans="1:6">
      <c r="A114" s="85" t="s">
        <v>173</v>
      </c>
    </row>
    <row r="115" spans="1:6">
      <c r="A115" s="87" t="s">
        <v>175</v>
      </c>
      <c r="C115" s="91" t="s">
        <v>185</v>
      </c>
      <c r="D115" s="91" t="s">
        <v>186</v>
      </c>
      <c r="E115" s="91" t="s">
        <v>187</v>
      </c>
      <c r="F115" s="91" t="s">
        <v>188</v>
      </c>
    </row>
    <row r="116" spans="1:6">
      <c r="A116" s="89" t="str">
        <f>A99</f>
        <v>12/31/2008</v>
      </c>
      <c r="C116" s="90">
        <f>C99/B99</f>
        <v>1.0017491267806444</v>
      </c>
      <c r="D116" s="90">
        <f t="shared" ref="D116:F116" si="10">D99/C99</f>
        <v>0.96441374006513625</v>
      </c>
      <c r="E116" s="90">
        <f t="shared" si="10"/>
        <v>1.0117217948701895</v>
      </c>
      <c r="F116" s="90">
        <f t="shared" si="10"/>
        <v>1</v>
      </c>
    </row>
    <row r="117" spans="1:6">
      <c r="A117" s="89" t="str">
        <f t="shared" ref="A117:A126" si="11">A100</f>
        <v>12/31/2009</v>
      </c>
      <c r="C117" s="90">
        <f t="shared" ref="C117:F126" si="12">C100/B100</f>
        <v>0.98640768152008307</v>
      </c>
      <c r="D117" s="90">
        <f t="shared" si="12"/>
        <v>0.99107187810731523</v>
      </c>
      <c r="E117" s="90">
        <f t="shared" si="12"/>
        <v>0.98719550719735027</v>
      </c>
      <c r="F117" s="90">
        <f t="shared" si="12"/>
        <v>1.0009822707248219</v>
      </c>
    </row>
    <row r="118" spans="1:6">
      <c r="A118" s="89" t="str">
        <f t="shared" si="11"/>
        <v>12/31/2010</v>
      </c>
      <c r="C118" s="90">
        <f t="shared" si="12"/>
        <v>0.99745386118537549</v>
      </c>
      <c r="D118" s="90">
        <f t="shared" si="12"/>
        <v>0.99060539220684396</v>
      </c>
      <c r="E118" s="90">
        <f t="shared" si="12"/>
        <v>0.99611967036813653</v>
      </c>
      <c r="F118" s="90">
        <f t="shared" si="12"/>
        <v>1.0032737730740739</v>
      </c>
    </row>
    <row r="119" spans="1:6">
      <c r="A119" s="89" t="str">
        <f t="shared" si="11"/>
        <v>12/31/2011</v>
      </c>
      <c r="C119" s="90">
        <f t="shared" si="12"/>
        <v>0.9990970256434103</v>
      </c>
      <c r="D119" s="90">
        <f t="shared" si="12"/>
        <v>0.99796872694465877</v>
      </c>
      <c r="E119" s="90">
        <f t="shared" si="12"/>
        <v>1.0003160707129857</v>
      </c>
      <c r="F119" s="90">
        <f t="shared" si="12"/>
        <v>0.99759090179649823</v>
      </c>
    </row>
    <row r="120" spans="1:6">
      <c r="A120" s="89" t="str">
        <f t="shared" si="11"/>
        <v>12/31/2012</v>
      </c>
      <c r="C120" s="90">
        <f t="shared" si="12"/>
        <v>0.99803994338082891</v>
      </c>
      <c r="D120" s="90">
        <f t="shared" si="12"/>
        <v>1.0264514111252203</v>
      </c>
      <c r="E120" s="90">
        <f t="shared" si="12"/>
        <v>0.99699243775396829</v>
      </c>
      <c r="F120" s="90">
        <f t="shared" si="12"/>
        <v>1.0253861598938292</v>
      </c>
    </row>
    <row r="121" spans="1:6">
      <c r="A121" s="89" t="str">
        <f t="shared" si="11"/>
        <v>12/31/2013</v>
      </c>
      <c r="C121" s="90">
        <f t="shared" si="12"/>
        <v>0.99933060965893039</v>
      </c>
      <c r="D121" s="90">
        <f t="shared" si="12"/>
        <v>1.0022447724309842</v>
      </c>
      <c r="E121" s="90">
        <f t="shared" si="12"/>
        <v>0.9986122646042972</v>
      </c>
      <c r="F121" s="90">
        <f t="shared" si="12"/>
        <v>1.0000170172439073</v>
      </c>
    </row>
    <row r="122" spans="1:6">
      <c r="A122" s="89" t="str">
        <f t="shared" si="11"/>
        <v>12/31/2014</v>
      </c>
      <c r="C122" s="90">
        <f t="shared" si="12"/>
        <v>0.98590214945706978</v>
      </c>
      <c r="D122" s="90">
        <f t="shared" si="12"/>
        <v>0.99570983975638228</v>
      </c>
      <c r="E122" s="90">
        <f t="shared" si="12"/>
        <v>1.000295810782134</v>
      </c>
      <c r="F122" s="90">
        <f t="shared" si="12"/>
        <v>1.0003039921756913</v>
      </c>
    </row>
    <row r="123" spans="1:6">
      <c r="A123" s="89" t="str">
        <f t="shared" si="11"/>
        <v>12/31/2015</v>
      </c>
      <c r="C123" s="90">
        <f t="shared" si="12"/>
        <v>0.97450664238275397</v>
      </c>
      <c r="D123" s="90">
        <f t="shared" si="12"/>
        <v>0.99698478356780806</v>
      </c>
      <c r="E123" s="90">
        <f t="shared" si="12"/>
        <v>0.99157437615923427</v>
      </c>
      <c r="F123" s="90">
        <f t="shared" si="12"/>
        <v>0.99705235629815192</v>
      </c>
    </row>
    <row r="124" spans="1:6">
      <c r="A124" s="89" t="str">
        <f t="shared" si="11"/>
        <v>12/31/2016</v>
      </c>
      <c r="C124" s="90">
        <f t="shared" si="12"/>
        <v>1.060077557951163</v>
      </c>
      <c r="D124" s="90">
        <f t="shared" si="12"/>
        <v>0.99855582134995646</v>
      </c>
      <c r="E124" s="90">
        <f t="shared" si="12"/>
        <v>0.98513419905418476</v>
      </c>
    </row>
    <row r="125" spans="1:6">
      <c r="A125" s="89" t="str">
        <f t="shared" si="11"/>
        <v>12/31/2017</v>
      </c>
      <c r="C125" s="90">
        <f t="shared" si="12"/>
        <v>1.0243805333037359</v>
      </c>
      <c r="D125" s="90">
        <f t="shared" si="12"/>
        <v>0.99743643676076477</v>
      </c>
    </row>
    <row r="126" spans="1:6">
      <c r="A126" s="89" t="str">
        <f t="shared" si="11"/>
        <v>12/31/2018</v>
      </c>
      <c r="C126" s="90">
        <f t="shared" si="12"/>
        <v>0.95485728825701366</v>
      </c>
    </row>
    <row r="128" spans="1:6">
      <c r="A128" s="84" t="s">
        <v>189</v>
      </c>
      <c r="C128" s="90">
        <f>(SUM(C122:C126)-MAX(C122:C126)-MIN(C122:C126))/3</f>
        <v>0.99492977504785307</v>
      </c>
      <c r="D128" s="90">
        <f>(SUM(D121:D125)-MAX(D121:D125)-MIN(D121:D125))/3</f>
        <v>0.99765901389284328</v>
      </c>
      <c r="E128" s="90">
        <f>(SUM(E120:E124)-MAX(E120:E124)-MIN(E120:E124))/3</f>
        <v>0.99572635950583332</v>
      </c>
      <c r="F128" s="90">
        <f>(SUM(F119:F123)-MAX(F119:F123)-MIN(F119:F123))/3</f>
        <v>0.99930397040536578</v>
      </c>
    </row>
    <row r="129" spans="1:6">
      <c r="A129" s="84" t="s">
        <v>190</v>
      </c>
    </row>
    <row r="131" spans="1:6">
      <c r="C131" s="84" t="s">
        <v>180</v>
      </c>
    </row>
    <row r="132" spans="1:6">
      <c r="A132" s="84" t="s">
        <v>191</v>
      </c>
      <c r="E132" s="86" t="s">
        <v>192</v>
      </c>
      <c r="F132" s="90">
        <f>ROUND(B168*F176,3)</f>
        <v>1</v>
      </c>
    </row>
    <row r="133" spans="1:6">
      <c r="A133" s="84" t="s">
        <v>193</v>
      </c>
      <c r="E133" s="86" t="s">
        <v>194</v>
      </c>
      <c r="F133" s="90">
        <f>ROUND(F128*F132,3)</f>
        <v>0.999</v>
      </c>
    </row>
    <row r="134" spans="1:6">
      <c r="A134" s="84" t="s">
        <v>195</v>
      </c>
      <c r="E134" s="86" t="s">
        <v>196</v>
      </c>
      <c r="F134" s="90">
        <f>ROUND(E128*F133,3)</f>
        <v>0.995</v>
      </c>
    </row>
    <row r="135" spans="1:6">
      <c r="A135" s="84" t="s">
        <v>197</v>
      </c>
      <c r="E135" s="86" t="s">
        <v>198</v>
      </c>
      <c r="F135" s="90">
        <f>ROUND(D128*F134,3)</f>
        <v>0.99299999999999999</v>
      </c>
    </row>
    <row r="136" spans="1:6">
      <c r="A136" s="84" t="s">
        <v>199</v>
      </c>
      <c r="E136" s="86" t="s">
        <v>200</v>
      </c>
      <c r="F136" s="90">
        <f>ROUND(C128*F135,3)</f>
        <v>0.98799999999999999</v>
      </c>
    </row>
    <row r="138" spans="1:6">
      <c r="A138" s="83" t="s">
        <v>0</v>
      </c>
      <c r="B138" s="83"/>
      <c r="C138" s="83"/>
      <c r="D138" s="83"/>
      <c r="E138" s="83"/>
      <c r="F138" s="83"/>
    </row>
    <row r="139" spans="1:6">
      <c r="A139" s="279" t="s">
        <v>225</v>
      </c>
      <c r="B139" s="279"/>
      <c r="C139" s="279"/>
      <c r="D139" s="279"/>
      <c r="E139" s="279"/>
      <c r="F139" s="279"/>
    </row>
    <row r="140" spans="1:6">
      <c r="A140" s="279" t="s">
        <v>347</v>
      </c>
      <c r="B140" s="279"/>
      <c r="C140" s="279"/>
      <c r="D140" s="279"/>
      <c r="E140" s="279"/>
      <c r="F140" s="279"/>
    </row>
    <row r="141" spans="1:6">
      <c r="A141" s="279" t="s">
        <v>221</v>
      </c>
      <c r="B141" s="279"/>
      <c r="C141" s="279"/>
      <c r="D141" s="279"/>
      <c r="E141" s="279"/>
      <c r="F141" s="279"/>
    </row>
    <row r="142" spans="1:6">
      <c r="A142" s="279" t="s">
        <v>226</v>
      </c>
      <c r="B142" s="279"/>
      <c r="C142" s="279"/>
      <c r="D142" s="279"/>
      <c r="E142" s="279"/>
      <c r="F142" s="279"/>
    </row>
    <row r="144" spans="1:6">
      <c r="A144" s="85" t="s">
        <v>172</v>
      </c>
    </row>
    <row r="145" spans="1:6">
      <c r="A145" s="85" t="s">
        <v>173</v>
      </c>
    </row>
    <row r="146" spans="1:6">
      <c r="A146" s="87" t="s">
        <v>175</v>
      </c>
      <c r="B146" s="88" t="s">
        <v>201</v>
      </c>
      <c r="C146" s="88" t="s">
        <v>202</v>
      </c>
      <c r="D146" s="88" t="s">
        <v>203</v>
      </c>
      <c r="E146" s="88" t="s">
        <v>204</v>
      </c>
      <c r="F146" s="88" t="s">
        <v>205</v>
      </c>
    </row>
    <row r="147" spans="1:6">
      <c r="A147" s="85"/>
    </row>
    <row r="148" spans="1:6">
      <c r="A148" s="89" t="str">
        <f>A116</f>
        <v>12/31/2008</v>
      </c>
      <c r="B148" s="112">
        <v>7272320</v>
      </c>
      <c r="C148" s="112">
        <v>7272320</v>
      </c>
      <c r="D148" s="112">
        <v>7272320</v>
      </c>
      <c r="E148" s="112">
        <v>7276117</v>
      </c>
      <c r="F148" s="112">
        <v>7272930</v>
      </c>
    </row>
    <row r="149" spans="1:6">
      <c r="A149" s="89" t="str">
        <f t="shared" ref="A149:A154" si="13">A100</f>
        <v>12/31/2009</v>
      </c>
      <c r="B149" s="112">
        <v>7460263</v>
      </c>
      <c r="C149" s="112">
        <v>7460263</v>
      </c>
      <c r="D149" s="112">
        <v>7460263</v>
      </c>
      <c r="E149" s="112">
        <v>7460263</v>
      </c>
      <c r="F149" s="112">
        <v>7460263</v>
      </c>
    </row>
    <row r="150" spans="1:6">
      <c r="A150" s="89" t="str">
        <f t="shared" si="13"/>
        <v>12/31/2010</v>
      </c>
      <c r="B150" s="112">
        <v>11849904</v>
      </c>
      <c r="C150" s="112">
        <v>11844980</v>
      </c>
      <c r="D150" s="112">
        <v>11844980</v>
      </c>
      <c r="E150" s="112">
        <v>11844980</v>
      </c>
      <c r="F150" s="112">
        <v>11844980</v>
      </c>
    </row>
    <row r="151" spans="1:6">
      <c r="A151" s="89" t="str">
        <f t="shared" si="13"/>
        <v>12/31/2011</v>
      </c>
      <c r="B151" s="112">
        <v>11804004</v>
      </c>
      <c r="C151" s="112">
        <v>11800155</v>
      </c>
      <c r="D151" s="112">
        <v>11798650</v>
      </c>
      <c r="E151" s="112">
        <v>11797880</v>
      </c>
      <c r="F151" s="112"/>
    </row>
    <row r="152" spans="1:6">
      <c r="A152" s="89" t="str">
        <f t="shared" si="13"/>
        <v>12/31/2012</v>
      </c>
      <c r="B152" s="112">
        <v>14400312</v>
      </c>
      <c r="C152" s="112">
        <v>14400312</v>
      </c>
      <c r="D152" s="112">
        <v>14400312</v>
      </c>
      <c r="E152" s="112"/>
      <c r="F152" s="112"/>
    </row>
    <row r="153" spans="1:6">
      <c r="A153" s="89" t="str">
        <f t="shared" si="13"/>
        <v>12/31/2013</v>
      </c>
      <c r="B153" s="112">
        <v>12880478</v>
      </c>
      <c r="C153" s="112">
        <v>12880478</v>
      </c>
      <c r="D153" s="112"/>
      <c r="E153" s="112"/>
      <c r="F153" s="112"/>
    </row>
    <row r="154" spans="1:6">
      <c r="A154" s="89" t="str">
        <f t="shared" si="13"/>
        <v>12/31/2014</v>
      </c>
      <c r="B154" s="112">
        <v>11325401</v>
      </c>
      <c r="C154" s="112"/>
      <c r="D154" s="112"/>
      <c r="E154" s="112"/>
      <c r="F154" s="112"/>
    </row>
    <row r="156" spans="1:6">
      <c r="D156" s="84" t="s">
        <v>184</v>
      </c>
    </row>
    <row r="157" spans="1:6">
      <c r="A157" s="85" t="s">
        <v>172</v>
      </c>
    </row>
    <row r="158" spans="1:6">
      <c r="A158" s="85" t="s">
        <v>173</v>
      </c>
    </row>
    <row r="159" spans="1:6">
      <c r="A159" s="87" t="s">
        <v>175</v>
      </c>
      <c r="B159" s="91" t="s">
        <v>206</v>
      </c>
      <c r="C159" s="91" t="s">
        <v>207</v>
      </c>
      <c r="D159" s="91" t="s">
        <v>208</v>
      </c>
      <c r="E159" s="91" t="s">
        <v>209</v>
      </c>
      <c r="F159" s="91" t="s">
        <v>210</v>
      </c>
    </row>
    <row r="160" spans="1:6">
      <c r="A160" s="89" t="str">
        <f t="shared" ref="A160:A166" si="14">A148</f>
        <v>12/31/2008</v>
      </c>
      <c r="B160" s="90">
        <f>B148/F99</f>
        <v>1</v>
      </c>
      <c r="C160" s="90">
        <f>C148/B148</f>
        <v>1</v>
      </c>
      <c r="D160" s="90">
        <f t="shared" ref="D160:F160" si="15">D148/C148</f>
        <v>1</v>
      </c>
      <c r="E160" s="90">
        <f t="shared" si="15"/>
        <v>1.0005221167385374</v>
      </c>
      <c r="F160" s="90">
        <f t="shared" si="15"/>
        <v>0.99956199165021675</v>
      </c>
    </row>
    <row r="161" spans="1:6">
      <c r="A161" s="89" t="str">
        <f t="shared" si="14"/>
        <v>12/31/2009</v>
      </c>
      <c r="B161" s="90">
        <f t="shared" ref="B161:B166" si="16">B149/F100</f>
        <v>0.99103924868588977</v>
      </c>
      <c r="C161" s="90">
        <f t="shared" ref="C161:F165" si="17">C149/B149</f>
        <v>1</v>
      </c>
      <c r="D161" s="90">
        <f t="shared" si="17"/>
        <v>1</v>
      </c>
      <c r="E161" s="90">
        <f t="shared" si="17"/>
        <v>1</v>
      </c>
      <c r="F161" s="90">
        <f t="shared" si="17"/>
        <v>1</v>
      </c>
    </row>
    <row r="162" spans="1:6">
      <c r="A162" s="89" t="str">
        <f t="shared" si="14"/>
        <v>12/31/2010</v>
      </c>
      <c r="B162" s="90">
        <f t="shared" si="16"/>
        <v>1.0003701821760618</v>
      </c>
      <c r="C162" s="90">
        <f t="shared" si="17"/>
        <v>0.9995844692075142</v>
      </c>
      <c r="D162" s="90">
        <f t="shared" si="17"/>
        <v>1</v>
      </c>
      <c r="E162" s="90">
        <f t="shared" si="17"/>
        <v>1</v>
      </c>
      <c r="F162" s="90">
        <f t="shared" si="17"/>
        <v>1</v>
      </c>
    </row>
    <row r="163" spans="1:6">
      <c r="A163" s="89" t="str">
        <f t="shared" si="14"/>
        <v>12/31/2011</v>
      </c>
      <c r="B163" s="90">
        <f t="shared" si="16"/>
        <v>0.99939269388647722</v>
      </c>
      <c r="C163" s="90">
        <f t="shared" si="17"/>
        <v>0.99967392420402434</v>
      </c>
      <c r="D163" s="90">
        <f t="shared" si="17"/>
        <v>0.9998724593024414</v>
      </c>
      <c r="E163" s="90">
        <f t="shared" si="17"/>
        <v>0.99993473829633051</v>
      </c>
    </row>
    <row r="164" spans="1:6">
      <c r="A164" s="89" t="str">
        <f t="shared" si="14"/>
        <v>12/31/2012</v>
      </c>
      <c r="B164" s="90">
        <f t="shared" si="16"/>
        <v>1</v>
      </c>
      <c r="C164" s="90">
        <f t="shared" si="17"/>
        <v>1</v>
      </c>
      <c r="D164" s="90">
        <f t="shared" si="17"/>
        <v>1</v>
      </c>
    </row>
    <row r="165" spans="1:6">
      <c r="A165" s="89" t="str">
        <f t="shared" si="14"/>
        <v>12/31/2013</v>
      </c>
      <c r="B165" s="90">
        <f t="shared" si="16"/>
        <v>1.0008516247461638</v>
      </c>
      <c r="C165" s="90">
        <f t="shared" si="17"/>
        <v>1</v>
      </c>
    </row>
    <row r="166" spans="1:6">
      <c r="A166" s="89" t="str">
        <f t="shared" si="14"/>
        <v>12/31/2014</v>
      </c>
      <c r="B166" s="90">
        <f t="shared" si="16"/>
        <v>1.0066648184392066</v>
      </c>
    </row>
    <row r="168" spans="1:6">
      <c r="A168" s="84" t="s">
        <v>189</v>
      </c>
      <c r="B168" s="90">
        <f>(SUM(B162:B166)-MAX(B162:B166)-MIN(B162:B166))/3</f>
        <v>1.0004072689740751</v>
      </c>
      <c r="C168" s="90">
        <f>(SUM(C161:C165)-MAX(C161:C165)-MIN(C161:C165))/3</f>
        <v>0.9998913080680083</v>
      </c>
      <c r="D168" s="90">
        <f>(SUM(D160:D164)-MAX(D160:D164)-MIN(D160:D164))/3</f>
        <v>1</v>
      </c>
      <c r="E168" s="90">
        <f>(SUM(E160:E163)-MAX(E160:E163)-MIN(E160:E163))/(COUNT(E160:E163)-2)</f>
        <v>1</v>
      </c>
      <c r="F168" s="90">
        <f>SUM(F160:F162)/3</f>
        <v>0.99985399721673895</v>
      </c>
    </row>
    <row r="169" spans="1:6">
      <c r="A169" s="84" t="s">
        <v>190</v>
      </c>
    </row>
    <row r="171" spans="1:6">
      <c r="C171" s="84" t="s">
        <v>180</v>
      </c>
    </row>
    <row r="172" spans="1:6">
      <c r="A172" s="84" t="s">
        <v>211</v>
      </c>
      <c r="E172" s="86" t="s">
        <v>212</v>
      </c>
      <c r="F172" s="90">
        <v>1</v>
      </c>
    </row>
    <row r="173" spans="1:6">
      <c r="A173" s="84" t="s">
        <v>213</v>
      </c>
      <c r="E173" s="86" t="s">
        <v>214</v>
      </c>
      <c r="F173" s="90">
        <f>ROUND(F168*F172,3)</f>
        <v>1</v>
      </c>
    </row>
    <row r="174" spans="1:6">
      <c r="A174" s="84" t="s">
        <v>215</v>
      </c>
      <c r="E174" s="86" t="s">
        <v>216</v>
      </c>
      <c r="F174" s="90">
        <f>ROUND(E168*F173,3)</f>
        <v>1</v>
      </c>
    </row>
    <row r="175" spans="1:6">
      <c r="A175" s="84" t="s">
        <v>217</v>
      </c>
      <c r="E175" s="86" t="s">
        <v>218</v>
      </c>
      <c r="F175" s="90">
        <f>ROUND(D168*F174,3)</f>
        <v>1</v>
      </c>
    </row>
    <row r="176" spans="1:6">
      <c r="A176" s="84" t="s">
        <v>219</v>
      </c>
      <c r="E176" s="86" t="s">
        <v>220</v>
      </c>
      <c r="F176" s="90">
        <f>ROUND(C168*F175,3)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83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rowBreaks count="3" manualBreakCount="3">
    <brk id="48" max="16383" man="1"/>
    <brk id="88" max="16383" man="1"/>
    <brk id="1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F16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  <col min="6" max="6" width="10.796875" bestFit="1" customWidth="1"/>
  </cols>
  <sheetData>
    <row r="1" spans="1:6">
      <c r="C1" s="66"/>
    </row>
    <row r="2" spans="1:6">
      <c r="C2" s="66"/>
    </row>
    <row r="3" spans="1:6">
      <c r="A3" t="s">
        <v>328</v>
      </c>
      <c r="C3" s="166">
        <v>43830</v>
      </c>
    </row>
    <row r="4" spans="1:6">
      <c r="A4" t="s">
        <v>113</v>
      </c>
      <c r="C4" s="166">
        <v>44652</v>
      </c>
    </row>
    <row r="5" spans="1:6">
      <c r="C5" s="66"/>
    </row>
    <row r="6" spans="1:6">
      <c r="A6" t="s">
        <v>337</v>
      </c>
      <c r="C6" s="113">
        <v>3.75</v>
      </c>
    </row>
    <row r="7" spans="1:6">
      <c r="C7" s="67"/>
    </row>
    <row r="8" spans="1:6">
      <c r="A8" t="s">
        <v>238</v>
      </c>
      <c r="C8" s="66"/>
    </row>
    <row r="9" spans="1:6">
      <c r="A9" t="s">
        <v>112</v>
      </c>
      <c r="C9" s="167">
        <v>3.75</v>
      </c>
    </row>
    <row r="11" spans="1:6">
      <c r="C11" t="s">
        <v>242</v>
      </c>
      <c r="E11" t="s">
        <v>147</v>
      </c>
      <c r="F11" t="s">
        <v>329</v>
      </c>
    </row>
    <row r="12" spans="1:6">
      <c r="C12" t="s">
        <v>243</v>
      </c>
      <c r="E12" t="s">
        <v>245</v>
      </c>
      <c r="F12" t="s">
        <v>245</v>
      </c>
    </row>
    <row r="13" spans="1:6">
      <c r="C13" t="s">
        <v>244</v>
      </c>
      <c r="E13" t="s">
        <v>246</v>
      </c>
      <c r="F13" t="s">
        <v>246</v>
      </c>
    </row>
    <row r="14" spans="1:6">
      <c r="A14" t="s">
        <v>338</v>
      </c>
      <c r="C14" s="180">
        <f>COUNTIF('EXHIBIT B1'!$I$11:$I$15,"&lt;&gt;0")</f>
        <v>5</v>
      </c>
      <c r="D14" s="66"/>
      <c r="E14" s="117">
        <v>11500</v>
      </c>
      <c r="F14" s="117">
        <v>1380</v>
      </c>
    </row>
    <row r="15" spans="1:6">
      <c r="A15" t="s">
        <v>339</v>
      </c>
      <c r="C15" s="180">
        <f>COUNTIF('EXHIBIT B2'!$K$9:$K$13,"&lt;&gt;0")</f>
        <v>5</v>
      </c>
      <c r="D15" s="66"/>
      <c r="E15" s="117">
        <v>11000</v>
      </c>
      <c r="F15" s="117">
        <v>1350</v>
      </c>
    </row>
    <row r="16" spans="1:6">
      <c r="A16" t="s">
        <v>340</v>
      </c>
      <c r="C16" s="180">
        <v>5</v>
      </c>
      <c r="D16" s="66"/>
      <c r="E16" s="117">
        <v>4500</v>
      </c>
      <c r="F16" s="117">
        <v>550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66"/>
  <sheetViews>
    <sheetView zoomScaleNormal="100" zoomScaleSheetLayoutView="80" workbookViewId="0"/>
  </sheetViews>
  <sheetFormatPr defaultColWidth="9.1328125" defaultRowHeight="13.9"/>
  <cols>
    <col min="1" max="1" width="9.1328125" style="68"/>
    <col min="2" max="2" width="10.53125" style="68" customWidth="1"/>
    <col min="3" max="3" width="12.73046875" style="68" customWidth="1"/>
    <col min="4" max="4" width="3.265625" style="68" customWidth="1"/>
    <col min="5" max="5" width="9.1328125" style="68"/>
    <col min="6" max="6" width="11.73046875" style="68" bestFit="1" customWidth="1"/>
    <col min="7" max="7" width="10.1328125" style="68" hidden="1" customWidth="1"/>
    <col min="8" max="16384" width="9.1328125" style="68"/>
  </cols>
  <sheetData>
    <row r="1" spans="1:9">
      <c r="A1" s="68" t="s">
        <v>0</v>
      </c>
    </row>
    <row r="3" spans="1:9">
      <c r="A3" s="250" t="s">
        <v>356</v>
      </c>
      <c r="B3" s="250"/>
      <c r="C3" s="250"/>
      <c r="D3" s="250"/>
      <c r="E3" s="250"/>
      <c r="F3" s="250"/>
      <c r="G3" s="250"/>
      <c r="H3" s="250"/>
    </row>
    <row r="5" spans="1:9">
      <c r="A5" s="250" t="s">
        <v>357</v>
      </c>
      <c r="B5" s="250"/>
      <c r="C5" s="250"/>
      <c r="D5" s="250"/>
      <c r="E5" s="250"/>
      <c r="F5" s="250"/>
      <c r="G5" s="250"/>
      <c r="H5" s="250"/>
    </row>
    <row r="7" spans="1:9">
      <c r="A7" s="248" t="s">
        <v>358</v>
      </c>
      <c r="B7" s="249"/>
      <c r="C7" s="249"/>
      <c r="D7" s="249"/>
      <c r="E7" s="249"/>
      <c r="F7" s="249"/>
      <c r="G7" s="249"/>
      <c r="H7" s="249"/>
      <c r="I7" s="249"/>
    </row>
    <row r="8" spans="1:9">
      <c r="A8" s="248" t="str">
        <f>"factor to be applied to the current Zone-Rated Liability loss cost is "&amp;TEXT(B10,"0.000")&amp;"."</f>
        <v>factor to be applied to the current Zone-Rated Liability loss cost is 0.944.</v>
      </c>
      <c r="B8" s="249"/>
      <c r="C8" s="249"/>
      <c r="D8" s="249"/>
      <c r="E8" s="249"/>
      <c r="F8" s="249"/>
      <c r="G8" s="249"/>
      <c r="H8" s="249"/>
    </row>
    <row r="10" spans="1:9" ht="15">
      <c r="B10" s="196">
        <f>ROUND(C10/C11,3)</f>
        <v>0.94399999999999995</v>
      </c>
      <c r="C10" s="197">
        <f>'EXHIBIT B1'!C15</f>
        <v>18827766</v>
      </c>
    </row>
    <row r="11" spans="1:9">
      <c r="C11" s="198">
        <v>19940219</v>
      </c>
      <c r="F11" s="135"/>
      <c r="G11" s="68">
        <f>IF(F11&gt;100,0,F11)</f>
        <v>0</v>
      </c>
    </row>
    <row r="12" spans="1:9">
      <c r="D12" s="129"/>
      <c r="F12" s="136"/>
    </row>
    <row r="13" spans="1:9">
      <c r="B13" s="127" t="s">
        <v>359</v>
      </c>
      <c r="C13" s="195">
        <f>C10</f>
        <v>18827766</v>
      </c>
      <c r="D13" s="130" t="s">
        <v>360</v>
      </c>
      <c r="E13" s="68" t="s">
        <v>361</v>
      </c>
      <c r="F13" s="136"/>
    </row>
    <row r="14" spans="1:9">
      <c r="B14" s="128"/>
      <c r="D14" s="130"/>
      <c r="E14" s="68" t="s">
        <v>362</v>
      </c>
      <c r="F14" s="135"/>
      <c r="G14" s="68">
        <f t="shared" ref="G14:G15" si="0">IF(F14&gt;100,0,F14)</f>
        <v>0</v>
      </c>
    </row>
    <row r="15" spans="1:9">
      <c r="B15" s="128"/>
      <c r="C15" s="195">
        <f>C11</f>
        <v>19940219</v>
      </c>
      <c r="D15" s="130" t="s">
        <v>360</v>
      </c>
      <c r="E15" s="68" t="s">
        <v>361</v>
      </c>
      <c r="F15" s="132"/>
      <c r="G15" s="68">
        <f t="shared" si="0"/>
        <v>0</v>
      </c>
    </row>
    <row r="16" spans="1:9">
      <c r="B16" s="128"/>
      <c r="D16" s="130"/>
      <c r="E16" s="68" t="s">
        <v>363</v>
      </c>
      <c r="F16" s="135"/>
      <c r="G16" s="68" t="e">
        <f>ROUND((14:14*D14+15:15*D15)/D:D,3)</f>
        <v>#VALUE!</v>
      </c>
    </row>
    <row r="17" spans="1:9">
      <c r="D17" s="129"/>
      <c r="F17" s="136"/>
    </row>
    <row r="18" spans="1:9">
      <c r="D18" s="130"/>
      <c r="F18" s="135"/>
      <c r="G18" s="68" t="e">
        <f>ROUND((11:11*C11+14:14*D14+15:15*D15)/D:D,3)</f>
        <v>#VALUE!</v>
      </c>
    </row>
    <row r="19" spans="1:9">
      <c r="A19" s="250" t="s">
        <v>161</v>
      </c>
      <c r="B19" s="250"/>
      <c r="C19" s="250"/>
      <c r="D19" s="250"/>
      <c r="E19" s="250"/>
      <c r="F19" s="250"/>
      <c r="G19" s="250"/>
      <c r="H19" s="250"/>
    </row>
    <row r="21" spans="1:9">
      <c r="A21" s="250" t="s">
        <v>164</v>
      </c>
      <c r="B21" s="250"/>
      <c r="C21" s="250"/>
      <c r="D21" s="250"/>
      <c r="E21" s="250"/>
      <c r="F21" s="250"/>
      <c r="G21" s="250"/>
      <c r="H21" s="250"/>
    </row>
    <row r="23" spans="1:9">
      <c r="A23" s="248" t="s">
        <v>364</v>
      </c>
      <c r="B23" s="249"/>
      <c r="C23" s="249"/>
      <c r="D23" s="249"/>
      <c r="E23" s="249"/>
      <c r="F23" s="249"/>
      <c r="G23" s="249"/>
      <c r="H23" s="249"/>
      <c r="I23" s="249"/>
    </row>
    <row r="24" spans="1:9">
      <c r="A24" s="248" t="s">
        <v>365</v>
      </c>
      <c r="B24" s="249"/>
      <c r="C24" s="249"/>
      <c r="D24" s="249"/>
      <c r="E24" s="249"/>
      <c r="F24" s="249"/>
      <c r="G24" s="249"/>
      <c r="H24" s="249"/>
      <c r="I24" s="249"/>
    </row>
    <row r="25" spans="1:9">
      <c r="A25" s="248" t="str">
        <f>"base loss cost is "&amp;TEXT(B27,"0.000")&amp;"."</f>
        <v>base loss cost is 1.071.</v>
      </c>
      <c r="B25" s="249"/>
      <c r="C25" s="249"/>
      <c r="D25" s="249"/>
      <c r="E25" s="249"/>
      <c r="F25" s="249"/>
      <c r="G25" s="249"/>
      <c r="H25" s="249"/>
    </row>
    <row r="27" spans="1:9" ht="15">
      <c r="B27" s="196">
        <f>ROUND(C27/C28,3)</f>
        <v>1.071</v>
      </c>
      <c r="C27" s="197">
        <f>'EXHIBIT B2'!E13</f>
        <v>2336948</v>
      </c>
    </row>
    <row r="28" spans="1:9">
      <c r="C28" s="198">
        <v>2181722</v>
      </c>
      <c r="F28" s="135"/>
      <c r="G28" s="68">
        <f>IF(F28&gt;100,0,F28)</f>
        <v>0</v>
      </c>
    </row>
    <row r="29" spans="1:9">
      <c r="D29" s="129"/>
      <c r="F29" s="136"/>
    </row>
    <row r="30" spans="1:9">
      <c r="B30" s="127" t="s">
        <v>359</v>
      </c>
      <c r="C30" s="195">
        <f>C27</f>
        <v>2336948</v>
      </c>
      <c r="D30" s="130" t="s">
        <v>360</v>
      </c>
      <c r="E30" s="68" t="s">
        <v>361</v>
      </c>
      <c r="F30" s="136"/>
    </row>
    <row r="31" spans="1:9">
      <c r="B31" s="128"/>
      <c r="D31" s="130"/>
      <c r="E31" s="68" t="s">
        <v>362</v>
      </c>
      <c r="F31" s="135"/>
      <c r="G31" s="68">
        <f t="shared" ref="G31:G32" si="1">IF(F31&gt;100,0,F31)</f>
        <v>0</v>
      </c>
    </row>
    <row r="32" spans="1:9">
      <c r="B32" s="128"/>
      <c r="C32" s="195">
        <f>C28</f>
        <v>2181722</v>
      </c>
      <c r="D32" s="130" t="s">
        <v>360</v>
      </c>
      <c r="E32" s="68" t="s">
        <v>361</v>
      </c>
      <c r="F32" s="132"/>
      <c r="G32" s="68">
        <f t="shared" si="1"/>
        <v>0</v>
      </c>
    </row>
    <row r="33" spans="1:9">
      <c r="B33" s="128"/>
      <c r="D33" s="130"/>
      <c r="E33" s="68" t="s">
        <v>363</v>
      </c>
      <c r="F33" s="135"/>
      <c r="G33" s="68" t="e">
        <f>ROUND((31:31*D31+32:32*D32)/D:D,3)</f>
        <v>#VALUE!</v>
      </c>
    </row>
    <row r="34" spans="1:9">
      <c r="D34" s="130"/>
      <c r="F34" s="135"/>
    </row>
    <row r="35" spans="1:9">
      <c r="B35" s="127"/>
      <c r="D35" s="130"/>
      <c r="F35" s="135"/>
    </row>
    <row r="36" spans="1:9">
      <c r="A36" s="250" t="s">
        <v>61</v>
      </c>
      <c r="B36" s="250"/>
      <c r="C36" s="250"/>
      <c r="D36" s="250"/>
      <c r="E36" s="250"/>
      <c r="F36" s="250"/>
      <c r="G36" s="250"/>
      <c r="H36" s="250"/>
    </row>
    <row r="38" spans="1:9">
      <c r="A38" s="248" t="s">
        <v>366</v>
      </c>
      <c r="B38" s="249"/>
      <c r="C38" s="249"/>
      <c r="D38" s="249"/>
      <c r="E38" s="249"/>
      <c r="F38" s="249"/>
      <c r="G38" s="249"/>
      <c r="H38" s="249"/>
      <c r="I38" s="249"/>
    </row>
    <row r="39" spans="1:9">
      <c r="A39" s="248" t="s">
        <v>367</v>
      </c>
      <c r="B39" s="249"/>
      <c r="C39" s="249"/>
      <c r="D39" s="249"/>
      <c r="E39" s="249"/>
      <c r="F39" s="249"/>
      <c r="G39" s="249"/>
      <c r="H39" s="249"/>
      <c r="I39" s="249"/>
    </row>
    <row r="40" spans="1:9">
      <c r="A40" s="248" t="str">
        <f>"loss cost is "&amp;TEXT(B42,"0.000")&amp;"."</f>
        <v>loss cost is 0.949.</v>
      </c>
      <c r="B40" s="249"/>
      <c r="C40" s="249"/>
      <c r="D40" s="249"/>
      <c r="E40" s="249"/>
      <c r="F40" s="249"/>
      <c r="G40" s="249"/>
      <c r="H40" s="249"/>
    </row>
    <row r="42" spans="1:9" ht="15">
      <c r="B42" s="196">
        <f>ROUND(C42/C43,3)</f>
        <v>0.94899999999999995</v>
      </c>
      <c r="C42" s="197">
        <f>'EXHIBIT B2'!E21</f>
        <v>7114444</v>
      </c>
    </row>
    <row r="43" spans="1:9">
      <c r="C43" s="198">
        <v>7496382</v>
      </c>
      <c r="F43" s="135"/>
      <c r="G43" s="68">
        <f>IF(F43&gt;100,0,F43)</f>
        <v>0</v>
      </c>
    </row>
    <row r="44" spans="1:9">
      <c r="D44" s="129"/>
      <c r="F44" s="136"/>
    </row>
    <row r="45" spans="1:9">
      <c r="B45" s="127" t="s">
        <v>359</v>
      </c>
      <c r="C45" s="195">
        <f>C42</f>
        <v>7114444</v>
      </c>
      <c r="D45" s="130" t="s">
        <v>360</v>
      </c>
      <c r="E45" s="68" t="s">
        <v>361</v>
      </c>
      <c r="F45" s="136"/>
    </row>
    <row r="46" spans="1:9">
      <c r="B46" s="128"/>
      <c r="D46" s="130"/>
      <c r="E46" s="68" t="s">
        <v>362</v>
      </c>
      <c r="F46" s="135"/>
      <c r="G46" s="68">
        <f t="shared" ref="G46:G47" si="2">IF(F46&gt;100,0,F46)</f>
        <v>0</v>
      </c>
    </row>
    <row r="47" spans="1:9">
      <c r="B47" s="128"/>
      <c r="C47" s="195">
        <f>C43</f>
        <v>7496382</v>
      </c>
      <c r="D47" s="130" t="s">
        <v>360</v>
      </c>
      <c r="E47" s="68" t="s">
        <v>361</v>
      </c>
      <c r="F47" s="132"/>
      <c r="G47" s="68">
        <f t="shared" si="2"/>
        <v>0</v>
      </c>
    </row>
    <row r="48" spans="1:9">
      <c r="B48" s="128"/>
      <c r="D48" s="130"/>
      <c r="E48" s="68" t="s">
        <v>363</v>
      </c>
      <c r="F48" s="135"/>
      <c r="G48" s="68" t="e">
        <f>ROUND((46:46*D46+47:47*D47)/D:D,3)</f>
        <v>#VALUE!</v>
      </c>
    </row>
    <row r="49" spans="2:7">
      <c r="B49" s="127"/>
      <c r="D49" s="130"/>
      <c r="F49" s="135"/>
      <c r="G49" s="68" t="e">
        <f>ROUND((11:11*C11+25:25*D25)/D:D,3)</f>
        <v>#DIV/0!</v>
      </c>
    </row>
    <row r="50" spans="2:7">
      <c r="B50" s="127"/>
      <c r="D50" s="130"/>
      <c r="F50" s="135"/>
      <c r="G50" s="68" t="e">
        <f>ROUND((14:14*D14+15:15*D15+28:28*D28+29:29*D29+37:37*D37+38:38*D38+42:42*D42+43:43*D43)/D:D,3)</f>
        <v>#VALUE!</v>
      </c>
    </row>
    <row r="51" spans="2:7">
      <c r="B51" s="127"/>
      <c r="D51" s="129"/>
      <c r="F51" s="131"/>
    </row>
    <row r="53" spans="2:7" ht="15" customHeight="1">
      <c r="B53" s="134"/>
      <c r="C53" s="133"/>
      <c r="D53" s="133"/>
      <c r="E53" s="133"/>
      <c r="F53" s="133"/>
    </row>
    <row r="54" spans="2:7">
      <c r="B54" s="133"/>
      <c r="C54" s="133"/>
      <c r="D54" s="133"/>
      <c r="E54" s="133"/>
      <c r="F54" s="133"/>
    </row>
    <row r="55" spans="2:7">
      <c r="B55" s="134"/>
      <c r="C55" s="133"/>
      <c r="D55" s="133"/>
      <c r="E55" s="133"/>
      <c r="F55" s="133"/>
    </row>
    <row r="56" spans="2:7">
      <c r="B56" s="149"/>
      <c r="C56" s="133"/>
      <c r="D56" s="133"/>
      <c r="E56" s="133"/>
      <c r="F56" s="133"/>
    </row>
    <row r="57" spans="2:7">
      <c r="B57" s="134"/>
      <c r="C57" s="133"/>
      <c r="D57" s="133"/>
      <c r="E57" s="133"/>
      <c r="F57" s="133"/>
    </row>
    <row r="58" spans="2:7">
      <c r="B58" s="134"/>
      <c r="C58" s="133"/>
      <c r="D58" s="133"/>
      <c r="E58" s="133"/>
      <c r="F58" s="133"/>
    </row>
    <row r="59" spans="2:7">
      <c r="B59" s="134"/>
      <c r="C59" s="133"/>
      <c r="D59" s="133"/>
      <c r="E59" s="133"/>
      <c r="F59" s="133"/>
    </row>
    <row r="60" spans="2:7">
      <c r="B60" s="134"/>
      <c r="C60" s="133"/>
      <c r="D60" s="133"/>
      <c r="E60" s="133"/>
      <c r="F60" s="133"/>
    </row>
    <row r="61" spans="2:7">
      <c r="B61" s="134"/>
      <c r="C61" s="133"/>
      <c r="D61" s="133"/>
      <c r="E61" s="133"/>
      <c r="F61" s="133"/>
    </row>
    <row r="62" spans="2:7">
      <c r="C62" s="133"/>
      <c r="D62" s="133"/>
      <c r="E62" s="133"/>
      <c r="F62" s="133"/>
    </row>
    <row r="63" spans="2:7">
      <c r="B63" s="133"/>
      <c r="C63" s="133"/>
      <c r="D63" s="133"/>
      <c r="E63" s="133"/>
      <c r="F63" s="133"/>
    </row>
    <row r="64" spans="2:7">
      <c r="B64" s="133"/>
      <c r="C64" s="133"/>
      <c r="D64" s="133"/>
      <c r="E64" s="133"/>
      <c r="F64" s="133"/>
    </row>
    <row r="65" spans="2:6">
      <c r="B65" s="133"/>
      <c r="C65" s="133"/>
      <c r="D65" s="133"/>
      <c r="E65" s="133"/>
      <c r="F65" s="133"/>
    </row>
    <row r="66" spans="2:6">
      <c r="B66" s="133"/>
      <c r="C66" s="133"/>
      <c r="D66" s="133"/>
      <c r="E66" s="133"/>
      <c r="F66" s="133"/>
    </row>
  </sheetData>
  <mergeCells count="13">
    <mergeCell ref="A3:H3"/>
    <mergeCell ref="A5:H5"/>
    <mergeCell ref="A21:H21"/>
    <mergeCell ref="A7:I7"/>
    <mergeCell ref="A23:I23"/>
    <mergeCell ref="A39:I39"/>
    <mergeCell ref="A40:H40"/>
    <mergeCell ref="A25:H25"/>
    <mergeCell ref="A24:I24"/>
    <mergeCell ref="A8:H8"/>
    <mergeCell ref="A19:H19"/>
    <mergeCell ref="A36:H36"/>
    <mergeCell ref="A38:I38"/>
  </mergeCells>
  <pageMargins left="0.7" right="0.7" top="0.5" bottom="0.5" header="0.3" footer="0.3"/>
  <pageSetup scale="75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Roman,Regular"Maine CA-2021-RZRLC&amp;R&amp;"Times New Roman,Regular"&amp;A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418BE-4A50-40A6-A5D9-8389F257B85B}">
  <dimension ref="A1:G26"/>
  <sheetViews>
    <sheetView zoomScaleNormal="100" zoomScaleSheetLayoutView="80" workbookViewId="0"/>
  </sheetViews>
  <sheetFormatPr defaultColWidth="9.1328125" defaultRowHeight="13.9"/>
  <cols>
    <col min="1" max="1" width="21.73046875" style="55" customWidth="1"/>
    <col min="2" max="7" width="10.59765625" style="55" customWidth="1"/>
    <col min="8" max="16384" width="9.1328125" style="55"/>
  </cols>
  <sheetData>
    <row r="1" spans="1:7">
      <c r="A1" s="55" t="s">
        <v>0</v>
      </c>
    </row>
    <row r="3" spans="1:7">
      <c r="A3" s="251" t="s">
        <v>509</v>
      </c>
      <c r="B3" s="251"/>
      <c r="C3" s="251"/>
      <c r="D3" s="251"/>
      <c r="E3" s="251"/>
      <c r="F3" s="251"/>
      <c r="G3" s="251"/>
    </row>
    <row r="5" spans="1:7">
      <c r="A5" s="256" t="s">
        <v>368</v>
      </c>
      <c r="B5" s="257"/>
      <c r="C5" s="257"/>
      <c r="D5" s="257"/>
      <c r="E5" s="257"/>
      <c r="F5" s="257"/>
      <c r="G5" s="258"/>
    </row>
    <row r="6" spans="1:7">
      <c r="A6" s="203"/>
      <c r="B6" s="252" t="s">
        <v>262</v>
      </c>
      <c r="C6" s="253"/>
      <c r="D6" s="254" t="s">
        <v>157</v>
      </c>
      <c r="E6" s="253"/>
      <c r="F6" s="255" t="s">
        <v>330</v>
      </c>
      <c r="G6" s="253"/>
    </row>
    <row r="7" spans="1:7">
      <c r="A7" s="204" t="s">
        <v>369</v>
      </c>
      <c r="B7" s="79" t="s">
        <v>374</v>
      </c>
      <c r="C7" s="202" t="s">
        <v>375</v>
      </c>
      <c r="D7" s="206" t="s">
        <v>374</v>
      </c>
      <c r="E7" s="202" t="s">
        <v>375</v>
      </c>
      <c r="F7" s="79" t="s">
        <v>374</v>
      </c>
      <c r="G7" s="202" t="s">
        <v>375</v>
      </c>
    </row>
    <row r="8" spans="1:7">
      <c r="A8" s="204" t="s">
        <v>370</v>
      </c>
      <c r="B8" s="207">
        <v>0.85</v>
      </c>
      <c r="C8" s="208">
        <v>0.81599999999999995</v>
      </c>
      <c r="D8" s="209">
        <v>1</v>
      </c>
      <c r="E8" s="208">
        <v>1</v>
      </c>
      <c r="F8" s="207">
        <v>1</v>
      </c>
      <c r="G8" s="208">
        <v>1</v>
      </c>
    </row>
    <row r="9" spans="1:7" ht="15" customHeight="1">
      <c r="A9" s="204" t="s">
        <v>371</v>
      </c>
      <c r="B9" s="210">
        <v>1</v>
      </c>
      <c r="C9" s="211">
        <v>1</v>
      </c>
      <c r="D9" s="212">
        <v>1</v>
      </c>
      <c r="E9" s="211">
        <v>1</v>
      </c>
      <c r="F9" s="213">
        <v>1</v>
      </c>
      <c r="G9" s="208">
        <v>1</v>
      </c>
    </row>
    <row r="10" spans="1:7">
      <c r="A10" s="204" t="s">
        <v>372</v>
      </c>
      <c r="B10" s="213">
        <v>1.45</v>
      </c>
      <c r="C10" s="211">
        <v>1.5009999999999999</v>
      </c>
      <c r="D10" s="212">
        <v>1.1499999999999999</v>
      </c>
      <c r="E10" s="211">
        <v>1.1599999999999999</v>
      </c>
      <c r="F10" s="213">
        <v>1.1499999999999999</v>
      </c>
      <c r="G10" s="208">
        <v>1.1599999999999999</v>
      </c>
    </row>
    <row r="11" spans="1:7">
      <c r="A11" s="205" t="s">
        <v>373</v>
      </c>
      <c r="B11" s="214">
        <v>0.15</v>
      </c>
      <c r="C11" s="215">
        <v>0.13700000000000001</v>
      </c>
      <c r="D11" s="216">
        <v>0.65</v>
      </c>
      <c r="E11" s="215">
        <v>0.69</v>
      </c>
      <c r="F11" s="217">
        <v>0.65</v>
      </c>
      <c r="G11" s="218">
        <v>0.69</v>
      </c>
    </row>
    <row r="12" spans="1:7">
      <c r="B12" s="201"/>
      <c r="C12" s="200"/>
      <c r="D12" s="200"/>
      <c r="E12" s="200"/>
      <c r="F12" s="200"/>
    </row>
    <row r="13" spans="1:7">
      <c r="B13" s="199"/>
      <c r="C13" s="200"/>
      <c r="D13" s="200"/>
      <c r="E13" s="200"/>
      <c r="F13" s="200"/>
    </row>
    <row r="14" spans="1:7">
      <c r="A14" s="256" t="s">
        <v>376</v>
      </c>
      <c r="B14" s="257"/>
      <c r="C14" s="257"/>
      <c r="D14" s="257"/>
      <c r="E14" s="257"/>
      <c r="F14" s="257"/>
      <c r="G14" s="258"/>
    </row>
    <row r="15" spans="1:7">
      <c r="A15" s="203"/>
      <c r="B15" s="252" t="s">
        <v>262</v>
      </c>
      <c r="C15" s="253"/>
      <c r="D15" s="254" t="s">
        <v>157</v>
      </c>
      <c r="E15" s="253"/>
      <c r="F15" s="255" t="s">
        <v>330</v>
      </c>
      <c r="G15" s="253"/>
    </row>
    <row r="16" spans="1:7">
      <c r="A16" s="204" t="s">
        <v>369</v>
      </c>
      <c r="B16" s="79" t="s">
        <v>374</v>
      </c>
      <c r="C16" s="202" t="s">
        <v>375</v>
      </c>
      <c r="D16" s="206" t="s">
        <v>374</v>
      </c>
      <c r="E16" s="202" t="s">
        <v>375</v>
      </c>
      <c r="F16" s="79" t="s">
        <v>374</v>
      </c>
      <c r="G16" s="202" t="s">
        <v>375</v>
      </c>
    </row>
    <row r="17" spans="1:7">
      <c r="A17" s="204" t="s">
        <v>377</v>
      </c>
      <c r="B17" s="207">
        <v>0.7</v>
      </c>
      <c r="C17" s="208">
        <v>0.74</v>
      </c>
      <c r="D17" s="209">
        <v>0.6</v>
      </c>
      <c r="E17" s="208">
        <v>0.63</v>
      </c>
      <c r="F17" s="207">
        <v>0.65</v>
      </c>
      <c r="G17" s="208">
        <v>0.59</v>
      </c>
    </row>
    <row r="18" spans="1:7">
      <c r="A18" s="205" t="s">
        <v>378</v>
      </c>
      <c r="B18" s="214">
        <v>1</v>
      </c>
      <c r="C18" s="215">
        <v>1</v>
      </c>
      <c r="D18" s="216">
        <v>1</v>
      </c>
      <c r="E18" s="215">
        <v>1</v>
      </c>
      <c r="F18" s="217">
        <v>1</v>
      </c>
      <c r="G18" s="218">
        <v>1</v>
      </c>
    </row>
    <row r="19" spans="1:7">
      <c r="B19" s="200"/>
      <c r="C19" s="200"/>
      <c r="D19" s="200"/>
      <c r="E19" s="200"/>
      <c r="F19" s="200"/>
    </row>
    <row r="20" spans="1:7">
      <c r="B20" s="200"/>
      <c r="C20" s="200"/>
      <c r="D20" s="200"/>
      <c r="E20" s="200"/>
      <c r="F20" s="200"/>
    </row>
    <row r="21" spans="1:7">
      <c r="A21" s="256" t="s">
        <v>379</v>
      </c>
      <c r="B21" s="257"/>
      <c r="C21" s="257"/>
      <c r="D21" s="257"/>
      <c r="E21" s="257"/>
      <c r="F21" s="257"/>
      <c r="G21" s="258"/>
    </row>
    <row r="22" spans="1:7">
      <c r="A22" s="203"/>
      <c r="B22" s="252" t="s">
        <v>262</v>
      </c>
      <c r="C22" s="253"/>
      <c r="D22" s="254" t="s">
        <v>157</v>
      </c>
      <c r="E22" s="253"/>
      <c r="F22" s="255" t="s">
        <v>330</v>
      </c>
      <c r="G22" s="253"/>
    </row>
    <row r="23" spans="1:7">
      <c r="A23" s="204" t="s">
        <v>369</v>
      </c>
      <c r="B23" s="79" t="s">
        <v>374</v>
      </c>
      <c r="C23" s="202" t="s">
        <v>375</v>
      </c>
      <c r="D23" s="206" t="s">
        <v>374</v>
      </c>
      <c r="E23" s="202" t="s">
        <v>375</v>
      </c>
      <c r="F23" s="79" t="s">
        <v>374</v>
      </c>
      <c r="G23" s="202" t="s">
        <v>375</v>
      </c>
    </row>
    <row r="24" spans="1:7">
      <c r="A24" s="204" t="s">
        <v>380</v>
      </c>
      <c r="B24" s="219">
        <v>0.95</v>
      </c>
      <c r="C24" s="220">
        <v>0.93700000000000006</v>
      </c>
      <c r="D24" s="221">
        <v>0.9</v>
      </c>
      <c r="E24" s="220">
        <v>0.88</v>
      </c>
      <c r="F24" s="219">
        <v>0.95</v>
      </c>
      <c r="G24" s="220">
        <v>0.95</v>
      </c>
    </row>
    <row r="25" spans="1:7">
      <c r="A25" s="204" t="s">
        <v>381</v>
      </c>
      <c r="B25" s="222">
        <v>0.97499999999999998</v>
      </c>
      <c r="C25" s="223">
        <v>0.95599999999999996</v>
      </c>
      <c r="D25" s="224">
        <v>0.9</v>
      </c>
      <c r="E25" s="223">
        <v>0.88</v>
      </c>
      <c r="F25" s="225">
        <v>1</v>
      </c>
      <c r="G25" s="220">
        <v>0.98099999999999998</v>
      </c>
    </row>
    <row r="26" spans="1:7">
      <c r="A26" s="205" t="s">
        <v>382</v>
      </c>
      <c r="B26" s="226">
        <v>1</v>
      </c>
      <c r="C26" s="227">
        <v>1</v>
      </c>
      <c r="D26" s="228">
        <v>1</v>
      </c>
      <c r="E26" s="227">
        <v>1</v>
      </c>
      <c r="F26" s="229">
        <v>1</v>
      </c>
      <c r="G26" s="230">
        <v>1</v>
      </c>
    </row>
  </sheetData>
  <mergeCells count="13">
    <mergeCell ref="A3:G3"/>
    <mergeCell ref="B22:C22"/>
    <mergeCell ref="D22:E22"/>
    <mergeCell ref="F22:G22"/>
    <mergeCell ref="A5:G5"/>
    <mergeCell ref="B6:C6"/>
    <mergeCell ref="D6:E6"/>
    <mergeCell ref="F6:G6"/>
    <mergeCell ref="A14:G14"/>
    <mergeCell ref="B15:C15"/>
    <mergeCell ref="D15:E15"/>
    <mergeCell ref="F15:G15"/>
    <mergeCell ref="A21:G21"/>
  </mergeCells>
  <pageMargins left="0.7" right="0.7" top="0.75" bottom="0.75" header="0.3" footer="0.3"/>
  <pageSetup orientation="portrait" horizontalDpi="360" verticalDpi="360" r:id="rId1"/>
  <headerFooter>
    <oddHeader>&amp;R&amp;"Times New Roman,Regular"Page &amp;P of 1</oddHeader>
    <oddFooter>&amp;L&amp;"Times New Roman,Regular"© Insurance Services Office, Inc., 2021&amp;C&amp;"Times New Roman,Regular"Maine CA-2021-RZRLC&amp;R&amp;"Times New Roman,Regular"EXHIBIT A2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012B-31DF-4606-8A0D-14D82FB5BE4E}">
  <dimension ref="A1:H63"/>
  <sheetViews>
    <sheetView zoomScaleNormal="100" zoomScaleSheetLayoutView="80" workbookViewId="0"/>
  </sheetViews>
  <sheetFormatPr defaultRowHeight="13.9"/>
  <cols>
    <col min="1" max="1" width="9.06640625" style="184"/>
    <col min="2" max="2" width="11.796875" style="184" customWidth="1"/>
    <col min="3" max="16384" width="9.06640625" style="68"/>
  </cols>
  <sheetData>
    <row r="1" spans="1:8" s="55" customFormat="1">
      <c r="A1" s="240" t="s">
        <v>0</v>
      </c>
      <c r="B1" s="185"/>
    </row>
    <row r="2" spans="1:8" s="55" customFormat="1">
      <c r="A2" s="185"/>
      <c r="B2" s="185"/>
    </row>
    <row r="3" spans="1:8" s="55" customFormat="1">
      <c r="A3" s="251" t="s">
        <v>509</v>
      </c>
      <c r="B3" s="251"/>
      <c r="C3" s="251"/>
      <c r="D3" s="251"/>
      <c r="E3" s="251"/>
      <c r="F3" s="251"/>
      <c r="G3" s="251"/>
      <c r="H3" s="251"/>
    </row>
    <row r="4" spans="1:8" s="55" customFormat="1">
      <c r="A4" s="185"/>
      <c r="B4" s="185"/>
    </row>
    <row r="5" spans="1:8" s="55" customFormat="1">
      <c r="A5" s="259" t="s">
        <v>383</v>
      </c>
      <c r="B5" s="252"/>
      <c r="C5" s="260"/>
      <c r="D5" s="260"/>
      <c r="E5" s="260"/>
      <c r="F5" s="260"/>
      <c r="G5" s="260"/>
      <c r="H5" s="261"/>
    </row>
    <row r="6" spans="1:8" s="55" customFormat="1">
      <c r="A6" s="233"/>
      <c r="B6" s="234"/>
      <c r="C6" s="259" t="s">
        <v>262</v>
      </c>
      <c r="D6" s="262"/>
      <c r="E6" s="263" t="s">
        <v>157</v>
      </c>
      <c r="F6" s="262"/>
      <c r="G6" s="255" t="s">
        <v>330</v>
      </c>
      <c r="H6" s="262"/>
    </row>
    <row r="7" spans="1:8" s="55" customFormat="1">
      <c r="A7" s="206" t="s">
        <v>384</v>
      </c>
      <c r="B7" s="202" t="s">
        <v>385</v>
      </c>
      <c r="C7" s="206" t="s">
        <v>374</v>
      </c>
      <c r="D7" s="202" t="s">
        <v>375</v>
      </c>
      <c r="E7" s="79" t="s">
        <v>374</v>
      </c>
      <c r="F7" s="202" t="s">
        <v>375</v>
      </c>
      <c r="G7" s="79" t="s">
        <v>374</v>
      </c>
      <c r="H7" s="202" t="s">
        <v>375</v>
      </c>
    </row>
    <row r="8" spans="1:8">
      <c r="A8" s="235" t="s">
        <v>386</v>
      </c>
      <c r="B8" s="236" t="s">
        <v>388</v>
      </c>
      <c r="C8" s="221">
        <v>1.7749999999999999</v>
      </c>
      <c r="D8" s="220">
        <v>1.69</v>
      </c>
      <c r="E8" s="219">
        <v>1.667</v>
      </c>
      <c r="F8" s="220">
        <v>1.6439999999999999</v>
      </c>
      <c r="G8" s="219">
        <v>1.3859999999999999</v>
      </c>
      <c r="H8" s="220">
        <v>1.35</v>
      </c>
    </row>
    <row r="9" spans="1:8">
      <c r="A9" s="235" t="s">
        <v>387</v>
      </c>
      <c r="B9" s="236" t="s">
        <v>389</v>
      </c>
      <c r="C9" s="221">
        <v>1.875</v>
      </c>
      <c r="D9" s="220">
        <v>1.839</v>
      </c>
      <c r="E9" s="219">
        <v>1.958</v>
      </c>
      <c r="F9" s="220">
        <v>1.9810000000000001</v>
      </c>
      <c r="G9" s="219">
        <v>1.294</v>
      </c>
      <c r="H9" s="220">
        <v>1.2569999999999999</v>
      </c>
    </row>
    <row r="10" spans="1:8">
      <c r="A10" s="237" t="s">
        <v>390</v>
      </c>
      <c r="B10" s="236" t="s">
        <v>391</v>
      </c>
      <c r="C10" s="221">
        <v>1.2250000000000001</v>
      </c>
      <c r="D10" s="220">
        <v>1.2430000000000001</v>
      </c>
      <c r="E10" s="219">
        <v>1.0149999999999999</v>
      </c>
      <c r="F10" s="220">
        <v>1.0069999999999999</v>
      </c>
      <c r="G10" s="219">
        <v>1.2709999999999999</v>
      </c>
      <c r="H10" s="220">
        <v>1.252</v>
      </c>
    </row>
    <row r="11" spans="1:8">
      <c r="A11" s="237" t="s">
        <v>392</v>
      </c>
      <c r="B11" s="236" t="s">
        <v>393</v>
      </c>
      <c r="C11" s="221">
        <v>1.8440000000000001</v>
      </c>
      <c r="D11" s="220">
        <v>1.798</v>
      </c>
      <c r="E11" s="219">
        <v>1.649</v>
      </c>
      <c r="F11" s="220">
        <v>1.645</v>
      </c>
      <c r="G11" s="219">
        <v>1.302</v>
      </c>
      <c r="H11" s="220">
        <v>1.2709999999999999</v>
      </c>
    </row>
    <row r="12" spans="1:8">
      <c r="A12" s="237" t="s">
        <v>394</v>
      </c>
      <c r="B12" s="236" t="s">
        <v>395</v>
      </c>
      <c r="C12" s="221">
        <v>1.4350000000000001</v>
      </c>
      <c r="D12" s="220">
        <v>1.4450000000000001</v>
      </c>
      <c r="E12" s="219">
        <v>1.639</v>
      </c>
      <c r="F12" s="220">
        <v>1.6</v>
      </c>
      <c r="G12" s="219">
        <v>1.256</v>
      </c>
      <c r="H12" s="220">
        <v>1.232</v>
      </c>
    </row>
    <row r="13" spans="1:8">
      <c r="A13" s="237" t="s">
        <v>396</v>
      </c>
      <c r="B13" s="236" t="s">
        <v>397</v>
      </c>
      <c r="C13" s="221">
        <v>1.369</v>
      </c>
      <c r="D13" s="220">
        <v>1.369</v>
      </c>
      <c r="E13" s="219">
        <v>1.538</v>
      </c>
      <c r="F13" s="220">
        <v>1.611</v>
      </c>
      <c r="G13" s="219">
        <v>1.407</v>
      </c>
      <c r="H13" s="220">
        <v>1.3580000000000001</v>
      </c>
    </row>
    <row r="14" spans="1:8">
      <c r="A14" s="237" t="s">
        <v>398</v>
      </c>
      <c r="B14" s="236" t="s">
        <v>399</v>
      </c>
      <c r="C14" s="221">
        <v>1.641</v>
      </c>
      <c r="D14" s="220">
        <v>1.72</v>
      </c>
      <c r="E14" s="219">
        <v>1.613</v>
      </c>
      <c r="F14" s="220">
        <v>1.766</v>
      </c>
      <c r="G14" s="219">
        <v>1.2809999999999999</v>
      </c>
      <c r="H14" s="220">
        <v>1.4730000000000001</v>
      </c>
    </row>
    <row r="15" spans="1:8">
      <c r="A15" s="237" t="s">
        <v>400</v>
      </c>
      <c r="B15" s="236" t="s">
        <v>401</v>
      </c>
      <c r="C15" s="221">
        <v>1.7509999999999999</v>
      </c>
      <c r="D15" s="220">
        <v>1.7</v>
      </c>
      <c r="E15" s="219">
        <v>1.9830000000000001</v>
      </c>
      <c r="F15" s="220">
        <v>1.893</v>
      </c>
      <c r="G15" s="219">
        <v>1.407</v>
      </c>
      <c r="H15" s="220">
        <v>1.343</v>
      </c>
    </row>
    <row r="16" spans="1:8">
      <c r="A16" s="237" t="s">
        <v>402</v>
      </c>
      <c r="B16" s="236" t="s">
        <v>403</v>
      </c>
      <c r="C16" s="221">
        <v>2.1059999999999999</v>
      </c>
      <c r="D16" s="220">
        <v>2.1019999999999999</v>
      </c>
      <c r="E16" s="219">
        <v>2.173</v>
      </c>
      <c r="F16" s="220">
        <v>2.113</v>
      </c>
      <c r="G16" s="219">
        <v>1.129</v>
      </c>
      <c r="H16" s="220">
        <v>1.1080000000000001</v>
      </c>
    </row>
    <row r="17" spans="1:8">
      <c r="A17" s="237" t="s">
        <v>404</v>
      </c>
      <c r="B17" s="236" t="s">
        <v>405</v>
      </c>
      <c r="C17" s="221">
        <v>1.399</v>
      </c>
      <c r="D17" s="220">
        <v>1.375</v>
      </c>
      <c r="E17" s="219">
        <v>1.1919999999999999</v>
      </c>
      <c r="F17" s="220">
        <v>1.2490000000000001</v>
      </c>
      <c r="G17" s="219">
        <v>1.101</v>
      </c>
      <c r="H17" s="220">
        <v>1.1599999999999999</v>
      </c>
    </row>
    <row r="18" spans="1:8">
      <c r="A18" s="237" t="s">
        <v>406</v>
      </c>
      <c r="B18" s="236" t="s">
        <v>407</v>
      </c>
      <c r="C18" s="221">
        <v>0.99399999999999999</v>
      </c>
      <c r="D18" s="220">
        <v>1</v>
      </c>
      <c r="E18" s="219">
        <v>1.2250000000000001</v>
      </c>
      <c r="F18" s="220">
        <v>1.272</v>
      </c>
      <c r="G18" s="219">
        <v>1.0329999999999999</v>
      </c>
      <c r="H18" s="220">
        <v>1.0509999999999999</v>
      </c>
    </row>
    <row r="19" spans="1:8">
      <c r="A19" s="237" t="s">
        <v>408</v>
      </c>
      <c r="B19" s="236" t="s">
        <v>409</v>
      </c>
      <c r="C19" s="221">
        <v>1.39</v>
      </c>
      <c r="D19" s="220">
        <v>1.357</v>
      </c>
      <c r="E19" s="219">
        <v>1.518</v>
      </c>
      <c r="F19" s="220">
        <v>1.5640000000000001</v>
      </c>
      <c r="G19" s="219">
        <v>1.3260000000000001</v>
      </c>
      <c r="H19" s="220">
        <v>1.3089999999999999</v>
      </c>
    </row>
    <row r="20" spans="1:8">
      <c r="A20" s="237" t="s">
        <v>410</v>
      </c>
      <c r="B20" s="236" t="s">
        <v>411</v>
      </c>
      <c r="C20" s="221">
        <v>1.4039999999999999</v>
      </c>
      <c r="D20" s="220">
        <v>1.3839999999999999</v>
      </c>
      <c r="E20" s="219">
        <v>1.4139999999999999</v>
      </c>
      <c r="F20" s="220">
        <v>1.3560000000000001</v>
      </c>
      <c r="G20" s="219">
        <v>1.0269999999999999</v>
      </c>
      <c r="H20" s="220">
        <v>1.044</v>
      </c>
    </row>
    <row r="21" spans="1:8">
      <c r="A21" s="237" t="s">
        <v>412</v>
      </c>
      <c r="B21" s="236" t="s">
        <v>413</v>
      </c>
      <c r="C21" s="221">
        <v>1.61</v>
      </c>
      <c r="D21" s="220">
        <v>1.6080000000000001</v>
      </c>
      <c r="E21" s="219">
        <v>1.8959999999999999</v>
      </c>
      <c r="F21" s="220">
        <v>1.9379999999999999</v>
      </c>
      <c r="G21" s="219">
        <v>1.016</v>
      </c>
      <c r="H21" s="220">
        <v>1.018</v>
      </c>
    </row>
    <row r="22" spans="1:8">
      <c r="A22" s="237" t="s">
        <v>414</v>
      </c>
      <c r="B22" s="236" t="s">
        <v>415</v>
      </c>
      <c r="C22" s="221">
        <v>1.571</v>
      </c>
      <c r="D22" s="220">
        <v>1.5349999999999999</v>
      </c>
      <c r="E22" s="219">
        <v>1.643</v>
      </c>
      <c r="F22" s="220">
        <v>1.663</v>
      </c>
      <c r="G22" s="219">
        <v>1.105</v>
      </c>
      <c r="H22" s="220">
        <v>1.1060000000000001</v>
      </c>
    </row>
    <row r="23" spans="1:8">
      <c r="A23" s="237" t="s">
        <v>416</v>
      </c>
      <c r="B23" s="236" t="s">
        <v>417</v>
      </c>
      <c r="C23" s="221">
        <v>1.857</v>
      </c>
      <c r="D23" s="220">
        <v>1.8420000000000001</v>
      </c>
      <c r="E23" s="219">
        <v>1.54</v>
      </c>
      <c r="F23" s="220">
        <v>1.605</v>
      </c>
      <c r="G23" s="219">
        <v>1.1399999999999999</v>
      </c>
      <c r="H23" s="220">
        <v>1.1779999999999999</v>
      </c>
    </row>
    <row r="24" spans="1:8">
      <c r="A24" s="237" t="s">
        <v>418</v>
      </c>
      <c r="B24" s="236" t="s">
        <v>419</v>
      </c>
      <c r="C24" s="221">
        <v>1.9419999999999999</v>
      </c>
      <c r="D24" s="220">
        <v>2.0390000000000001</v>
      </c>
      <c r="E24" s="219">
        <v>1.9510000000000001</v>
      </c>
      <c r="F24" s="220">
        <v>2.0190000000000001</v>
      </c>
      <c r="G24" s="219">
        <v>1.073</v>
      </c>
      <c r="H24" s="220">
        <v>1.044</v>
      </c>
    </row>
    <row r="25" spans="1:8">
      <c r="A25" s="237" t="s">
        <v>420</v>
      </c>
      <c r="B25" s="236" t="s">
        <v>421</v>
      </c>
      <c r="C25" s="221">
        <v>1.7629999999999999</v>
      </c>
      <c r="D25" s="220">
        <v>1.728</v>
      </c>
      <c r="E25" s="219">
        <v>1.6</v>
      </c>
      <c r="F25" s="220">
        <v>1.6160000000000001</v>
      </c>
      <c r="G25" s="219">
        <v>1.0649999999999999</v>
      </c>
      <c r="H25" s="220">
        <v>1.0629999999999999</v>
      </c>
    </row>
    <row r="26" spans="1:8">
      <c r="A26" s="237" t="s">
        <v>422</v>
      </c>
      <c r="B26" s="236" t="s">
        <v>423</v>
      </c>
      <c r="C26" s="221">
        <v>1.3640000000000001</v>
      </c>
      <c r="D26" s="220">
        <v>1.339</v>
      </c>
      <c r="E26" s="219">
        <v>1.38</v>
      </c>
      <c r="F26" s="220">
        <v>1.385</v>
      </c>
      <c r="G26" s="219">
        <v>1.2050000000000001</v>
      </c>
      <c r="H26" s="220">
        <v>1.196</v>
      </c>
    </row>
    <row r="27" spans="1:8">
      <c r="A27" s="237" t="s">
        <v>424</v>
      </c>
      <c r="B27" s="236" t="s">
        <v>425</v>
      </c>
      <c r="C27" s="221">
        <v>0.97299999999999998</v>
      </c>
      <c r="D27" s="220">
        <v>0.93400000000000005</v>
      </c>
      <c r="E27" s="219">
        <v>1.0620000000000001</v>
      </c>
      <c r="F27" s="220">
        <v>1.1479999999999999</v>
      </c>
      <c r="G27" s="219">
        <v>0.94099999999999995</v>
      </c>
      <c r="H27" s="220">
        <v>0.98399999999999999</v>
      </c>
    </row>
    <row r="28" spans="1:8">
      <c r="A28" s="237" t="s">
        <v>426</v>
      </c>
      <c r="B28" s="236" t="s">
        <v>427</v>
      </c>
      <c r="C28" s="221">
        <v>1.0860000000000001</v>
      </c>
      <c r="D28" s="220">
        <v>1.0900000000000001</v>
      </c>
      <c r="E28" s="219">
        <v>1.28</v>
      </c>
      <c r="F28" s="220">
        <v>1.2470000000000001</v>
      </c>
      <c r="G28" s="219">
        <v>0.88</v>
      </c>
      <c r="H28" s="220">
        <v>0.87</v>
      </c>
    </row>
    <row r="29" spans="1:8">
      <c r="A29" s="237" t="s">
        <v>428</v>
      </c>
      <c r="B29" s="236" t="s">
        <v>429</v>
      </c>
      <c r="C29" s="221">
        <v>1.302</v>
      </c>
      <c r="D29" s="220">
        <v>1.2110000000000001</v>
      </c>
      <c r="E29" s="219">
        <v>1.278</v>
      </c>
      <c r="F29" s="220">
        <v>1.2609999999999999</v>
      </c>
      <c r="G29" s="219">
        <v>0.9</v>
      </c>
      <c r="H29" s="220">
        <v>0.877</v>
      </c>
    </row>
    <row r="30" spans="1:8">
      <c r="A30" s="237" t="s">
        <v>430</v>
      </c>
      <c r="B30" s="236" t="s">
        <v>431</v>
      </c>
      <c r="C30" s="221">
        <v>1.3160000000000001</v>
      </c>
      <c r="D30" s="220">
        <v>1.284</v>
      </c>
      <c r="E30" s="219">
        <v>1.5309999999999999</v>
      </c>
      <c r="F30" s="220">
        <v>1.649</v>
      </c>
      <c r="G30" s="219">
        <v>1.1859999999999999</v>
      </c>
      <c r="H30" s="220">
        <v>1.165</v>
      </c>
    </row>
    <row r="31" spans="1:8">
      <c r="A31" s="237" t="s">
        <v>432</v>
      </c>
      <c r="B31" s="236" t="s">
        <v>433</v>
      </c>
      <c r="C31" s="221">
        <v>1.55</v>
      </c>
      <c r="D31" s="220">
        <v>1.548</v>
      </c>
      <c r="E31" s="219">
        <v>1.639</v>
      </c>
      <c r="F31" s="220">
        <v>1.589</v>
      </c>
      <c r="G31" s="219">
        <v>1.0980000000000001</v>
      </c>
      <c r="H31" s="220">
        <v>1.119</v>
      </c>
    </row>
    <row r="32" spans="1:8">
      <c r="A32" s="237" t="s">
        <v>434</v>
      </c>
      <c r="B32" s="236" t="s">
        <v>435</v>
      </c>
      <c r="C32" s="221">
        <v>1.6160000000000001</v>
      </c>
      <c r="D32" s="220">
        <v>1.6339999999999999</v>
      </c>
      <c r="E32" s="219">
        <v>1.4870000000000001</v>
      </c>
      <c r="F32" s="220">
        <v>1.4610000000000001</v>
      </c>
      <c r="G32" s="219">
        <v>0.98799999999999999</v>
      </c>
      <c r="H32" s="220">
        <v>0.95299999999999996</v>
      </c>
    </row>
    <row r="33" spans="1:8">
      <c r="A33" s="237" t="s">
        <v>436</v>
      </c>
      <c r="B33" s="236" t="s">
        <v>437</v>
      </c>
      <c r="C33" s="221">
        <v>1.462</v>
      </c>
      <c r="D33" s="220">
        <v>1.5</v>
      </c>
      <c r="E33" s="219">
        <v>1.4450000000000001</v>
      </c>
      <c r="F33" s="220">
        <v>1.4319999999999999</v>
      </c>
      <c r="G33" s="219">
        <v>0.88</v>
      </c>
      <c r="H33" s="220">
        <v>0.86199999999999999</v>
      </c>
    </row>
    <row r="34" spans="1:8">
      <c r="A34" s="237" t="s">
        <v>438</v>
      </c>
      <c r="B34" s="236" t="s">
        <v>439</v>
      </c>
      <c r="C34" s="221">
        <v>1.7190000000000001</v>
      </c>
      <c r="D34" s="220">
        <v>1.69</v>
      </c>
      <c r="E34" s="219">
        <v>1.804</v>
      </c>
      <c r="F34" s="220">
        <v>1.7949999999999999</v>
      </c>
      <c r="G34" s="219">
        <v>1.012</v>
      </c>
      <c r="H34" s="220">
        <v>1.008</v>
      </c>
    </row>
    <row r="35" spans="1:8">
      <c r="A35" s="237" t="s">
        <v>440</v>
      </c>
      <c r="B35" s="236" t="s">
        <v>441</v>
      </c>
      <c r="C35" s="221">
        <v>1.1559999999999999</v>
      </c>
      <c r="D35" s="220">
        <v>1.1759999999999999</v>
      </c>
      <c r="E35" s="219">
        <v>1.385</v>
      </c>
      <c r="F35" s="220">
        <v>1.375</v>
      </c>
      <c r="G35" s="219">
        <v>0.97599999999999998</v>
      </c>
      <c r="H35" s="220">
        <v>0.97499999999999998</v>
      </c>
    </row>
    <row r="36" spans="1:8">
      <c r="A36" s="237" t="s">
        <v>442</v>
      </c>
      <c r="B36" s="236" t="s">
        <v>443</v>
      </c>
      <c r="C36" s="221">
        <v>1.506</v>
      </c>
      <c r="D36" s="220">
        <v>1.4670000000000001</v>
      </c>
      <c r="E36" s="219">
        <v>1.538</v>
      </c>
      <c r="F36" s="220">
        <v>1.5289999999999999</v>
      </c>
      <c r="G36" s="219">
        <v>0.94</v>
      </c>
      <c r="H36" s="220">
        <v>0.92400000000000004</v>
      </c>
    </row>
    <row r="37" spans="1:8">
      <c r="A37" s="237" t="s">
        <v>444</v>
      </c>
      <c r="B37" s="236" t="s">
        <v>445</v>
      </c>
      <c r="C37" s="221">
        <v>1.3069999999999999</v>
      </c>
      <c r="D37" s="220">
        <v>1.302</v>
      </c>
      <c r="E37" s="219">
        <v>1.379</v>
      </c>
      <c r="F37" s="220">
        <v>1.444</v>
      </c>
      <c r="G37" s="219">
        <v>0.98</v>
      </c>
      <c r="H37" s="220">
        <v>0.98199999999999998</v>
      </c>
    </row>
    <row r="38" spans="1:8">
      <c r="A38" s="237" t="s">
        <v>446</v>
      </c>
      <c r="B38" s="236" t="s">
        <v>447</v>
      </c>
      <c r="C38" s="221">
        <v>1.6919999999999999</v>
      </c>
      <c r="D38" s="220">
        <v>1.7190000000000001</v>
      </c>
      <c r="E38" s="219">
        <v>1.389</v>
      </c>
      <c r="F38" s="220">
        <v>1.381</v>
      </c>
      <c r="G38" s="219">
        <v>0.95099999999999996</v>
      </c>
      <c r="H38" s="220">
        <v>0.93200000000000005</v>
      </c>
    </row>
    <row r="39" spans="1:8">
      <c r="A39" s="237" t="s">
        <v>448</v>
      </c>
      <c r="B39" s="236" t="s">
        <v>449</v>
      </c>
      <c r="C39" s="221">
        <v>1.57</v>
      </c>
      <c r="D39" s="220">
        <v>1.6080000000000001</v>
      </c>
      <c r="E39" s="219">
        <v>1.756</v>
      </c>
      <c r="F39" s="220">
        <v>1.734</v>
      </c>
      <c r="G39" s="219">
        <v>1.0509999999999999</v>
      </c>
      <c r="H39" s="220">
        <v>1.0469999999999999</v>
      </c>
    </row>
    <row r="40" spans="1:8">
      <c r="A40" s="237" t="s">
        <v>450</v>
      </c>
      <c r="B40" s="236" t="s">
        <v>451</v>
      </c>
      <c r="C40" s="221">
        <v>2.004</v>
      </c>
      <c r="D40" s="220">
        <v>2.0760000000000001</v>
      </c>
      <c r="E40" s="219">
        <v>2.2989999999999999</v>
      </c>
      <c r="F40" s="220">
        <v>2.202</v>
      </c>
      <c r="G40" s="219">
        <v>0.85</v>
      </c>
      <c r="H40" s="220">
        <v>0.83299999999999996</v>
      </c>
    </row>
    <row r="41" spans="1:8">
      <c r="A41" s="237" t="s">
        <v>452</v>
      </c>
      <c r="B41" s="236" t="s">
        <v>453</v>
      </c>
      <c r="C41" s="221">
        <v>1.1850000000000001</v>
      </c>
      <c r="D41" s="220">
        <v>1.1539999999999999</v>
      </c>
      <c r="E41" s="219">
        <v>1.3149999999999999</v>
      </c>
      <c r="F41" s="220">
        <v>1.2949999999999999</v>
      </c>
      <c r="G41" s="219">
        <v>0.90200000000000002</v>
      </c>
      <c r="H41" s="220">
        <v>0.89600000000000002</v>
      </c>
    </row>
    <row r="42" spans="1:8">
      <c r="A42" s="237" t="s">
        <v>454</v>
      </c>
      <c r="B42" s="236" t="s">
        <v>455</v>
      </c>
      <c r="C42" s="221">
        <v>1.163</v>
      </c>
      <c r="D42" s="220">
        <v>1.1859999999999999</v>
      </c>
      <c r="E42" s="219">
        <v>1.22</v>
      </c>
      <c r="F42" s="220">
        <v>1.2350000000000001</v>
      </c>
      <c r="G42" s="219">
        <v>0.89900000000000002</v>
      </c>
      <c r="H42" s="220">
        <v>0.88600000000000001</v>
      </c>
    </row>
    <row r="43" spans="1:8">
      <c r="A43" s="237" t="s">
        <v>456</v>
      </c>
      <c r="B43" s="236" t="s">
        <v>457</v>
      </c>
      <c r="C43" s="221">
        <v>1.411</v>
      </c>
      <c r="D43" s="220">
        <v>1.377</v>
      </c>
      <c r="E43" s="219">
        <v>1.468</v>
      </c>
      <c r="F43" s="220">
        <v>1.5409999999999999</v>
      </c>
      <c r="G43" s="219">
        <v>0.97399999999999998</v>
      </c>
      <c r="H43" s="220">
        <v>0.96599999999999997</v>
      </c>
    </row>
    <row r="44" spans="1:8">
      <c r="A44" s="237" t="s">
        <v>458</v>
      </c>
      <c r="B44" s="236" t="s">
        <v>459</v>
      </c>
      <c r="C44" s="221">
        <v>1.502</v>
      </c>
      <c r="D44" s="220">
        <v>1.4610000000000001</v>
      </c>
      <c r="E44" s="219">
        <v>1.4059999999999999</v>
      </c>
      <c r="F44" s="220">
        <v>1.5069999999999999</v>
      </c>
      <c r="G44" s="219">
        <v>0.93799999999999994</v>
      </c>
      <c r="H44" s="220">
        <v>0.93899999999999995</v>
      </c>
    </row>
    <row r="45" spans="1:8">
      <c r="A45" s="237" t="s">
        <v>460</v>
      </c>
      <c r="B45" s="236" t="s">
        <v>461</v>
      </c>
      <c r="C45" s="221">
        <v>1.359</v>
      </c>
      <c r="D45" s="220">
        <v>1.3740000000000001</v>
      </c>
      <c r="E45" s="219">
        <v>1.208</v>
      </c>
      <c r="F45" s="220">
        <v>1.274</v>
      </c>
      <c r="G45" s="219">
        <v>1.0109999999999999</v>
      </c>
      <c r="H45" s="220">
        <v>0.996</v>
      </c>
    </row>
    <row r="46" spans="1:8">
      <c r="A46" s="237" t="s">
        <v>462</v>
      </c>
      <c r="B46" s="236" t="s">
        <v>463</v>
      </c>
      <c r="C46" s="221">
        <v>1.4330000000000001</v>
      </c>
      <c r="D46" s="220">
        <v>1.367</v>
      </c>
      <c r="E46" s="219">
        <v>1.498</v>
      </c>
      <c r="F46" s="220">
        <v>1.52</v>
      </c>
      <c r="G46" s="219">
        <v>0.78</v>
      </c>
      <c r="H46" s="220">
        <v>0.77400000000000002</v>
      </c>
    </row>
    <row r="47" spans="1:8">
      <c r="A47" s="237" t="s">
        <v>464</v>
      </c>
      <c r="B47" s="236" t="s">
        <v>465</v>
      </c>
      <c r="C47" s="221">
        <v>1.5009999999999999</v>
      </c>
      <c r="D47" s="220">
        <v>1.516</v>
      </c>
      <c r="E47" s="219">
        <v>1.3029999999999999</v>
      </c>
      <c r="F47" s="220">
        <v>1.377</v>
      </c>
      <c r="G47" s="219">
        <v>0.83</v>
      </c>
      <c r="H47" s="220">
        <v>0.82099999999999995</v>
      </c>
    </row>
    <row r="48" spans="1:8">
      <c r="A48" s="237" t="s">
        <v>466</v>
      </c>
      <c r="B48" s="236" t="s">
        <v>467</v>
      </c>
      <c r="C48" s="221">
        <v>1.5780000000000001</v>
      </c>
      <c r="D48" s="220">
        <v>1.5640000000000001</v>
      </c>
      <c r="E48" s="219">
        <v>1.5129999999999999</v>
      </c>
      <c r="F48" s="220">
        <v>1.5549999999999999</v>
      </c>
      <c r="G48" s="219">
        <v>1.127</v>
      </c>
      <c r="H48" s="220">
        <v>1.1040000000000001</v>
      </c>
    </row>
    <row r="49" spans="1:8">
      <c r="A49" s="237" t="s">
        <v>468</v>
      </c>
      <c r="B49" s="236" t="s">
        <v>469</v>
      </c>
      <c r="C49" s="221">
        <v>1.4239999999999999</v>
      </c>
      <c r="D49" s="220">
        <v>1.4870000000000001</v>
      </c>
      <c r="E49" s="219">
        <v>1.4239999999999999</v>
      </c>
      <c r="F49" s="220">
        <v>1.452</v>
      </c>
      <c r="G49" s="219">
        <v>1.08</v>
      </c>
      <c r="H49" s="220">
        <v>1.0569999999999999</v>
      </c>
    </row>
    <row r="50" spans="1:8">
      <c r="A50" s="237" t="s">
        <v>470</v>
      </c>
      <c r="B50" s="236" t="s">
        <v>471</v>
      </c>
      <c r="C50" s="221">
        <v>1.514</v>
      </c>
      <c r="D50" s="220">
        <v>1.5549999999999999</v>
      </c>
      <c r="E50" s="219">
        <v>1.4770000000000001</v>
      </c>
      <c r="F50" s="220">
        <v>1.4430000000000001</v>
      </c>
      <c r="G50" s="219">
        <v>1.1519999999999999</v>
      </c>
      <c r="H50" s="220">
        <v>1.111</v>
      </c>
    </row>
    <row r="51" spans="1:8">
      <c r="A51" s="237" t="s">
        <v>472</v>
      </c>
      <c r="B51" s="236" t="s">
        <v>473</v>
      </c>
      <c r="C51" s="221">
        <v>1.4690000000000001</v>
      </c>
      <c r="D51" s="220">
        <v>1.4950000000000001</v>
      </c>
      <c r="E51" s="219">
        <v>1.4990000000000001</v>
      </c>
      <c r="F51" s="220">
        <v>1.5029999999999999</v>
      </c>
      <c r="G51" s="219">
        <v>1.2110000000000001</v>
      </c>
      <c r="H51" s="220">
        <v>1.2010000000000001</v>
      </c>
    </row>
    <row r="52" spans="1:8">
      <c r="A52" s="237" t="s">
        <v>474</v>
      </c>
      <c r="B52" s="236" t="s">
        <v>475</v>
      </c>
      <c r="C52" s="221">
        <v>1.3420000000000001</v>
      </c>
      <c r="D52" s="220">
        <v>1.319</v>
      </c>
      <c r="E52" s="219">
        <v>1.3660000000000001</v>
      </c>
      <c r="F52" s="220">
        <v>1.3340000000000001</v>
      </c>
      <c r="G52" s="219">
        <v>1.0069999999999999</v>
      </c>
      <c r="H52" s="220">
        <v>0.99099999999999999</v>
      </c>
    </row>
    <row r="53" spans="1:8">
      <c r="A53" s="237" t="s">
        <v>476</v>
      </c>
      <c r="B53" s="236" t="s">
        <v>477</v>
      </c>
      <c r="C53" s="221">
        <v>1.7150000000000001</v>
      </c>
      <c r="D53" s="220">
        <v>1.823</v>
      </c>
      <c r="E53" s="219">
        <v>1.6020000000000001</v>
      </c>
      <c r="F53" s="220">
        <v>1.5589999999999999</v>
      </c>
      <c r="G53" s="219">
        <v>1.1200000000000001</v>
      </c>
      <c r="H53" s="220">
        <v>1.1479999999999999</v>
      </c>
    </row>
    <row r="54" spans="1:8">
      <c r="A54" s="237" t="s">
        <v>478</v>
      </c>
      <c r="B54" s="236" t="s">
        <v>479</v>
      </c>
      <c r="C54" s="221">
        <v>1.5880000000000001</v>
      </c>
      <c r="D54" s="220">
        <v>1.677</v>
      </c>
      <c r="E54" s="219">
        <v>1.512</v>
      </c>
      <c r="F54" s="220">
        <v>1.5069999999999999</v>
      </c>
      <c r="G54" s="219">
        <v>0.93200000000000005</v>
      </c>
      <c r="H54" s="220">
        <v>0.90700000000000003</v>
      </c>
    </row>
    <row r="55" spans="1:8">
      <c r="A55" s="237" t="s">
        <v>480</v>
      </c>
      <c r="B55" s="236" t="s">
        <v>481</v>
      </c>
      <c r="C55" s="221">
        <v>1.802</v>
      </c>
      <c r="D55" s="220">
        <v>1.806</v>
      </c>
      <c r="E55" s="219">
        <v>1.851</v>
      </c>
      <c r="F55" s="220">
        <v>1.8160000000000001</v>
      </c>
      <c r="G55" s="219">
        <v>0.91300000000000003</v>
      </c>
      <c r="H55" s="220">
        <v>0.89800000000000002</v>
      </c>
    </row>
    <row r="56" spans="1:8">
      <c r="A56" s="237" t="s">
        <v>482</v>
      </c>
      <c r="B56" s="236" t="s">
        <v>483</v>
      </c>
      <c r="C56" s="221">
        <v>1.613</v>
      </c>
      <c r="D56" s="220">
        <v>1.5820000000000001</v>
      </c>
      <c r="E56" s="219">
        <v>1.492</v>
      </c>
      <c r="F56" s="220">
        <v>1.4910000000000001</v>
      </c>
      <c r="G56" s="219">
        <v>0.92500000000000004</v>
      </c>
      <c r="H56" s="220">
        <v>0.91800000000000004</v>
      </c>
    </row>
    <row r="57" spans="1:8">
      <c r="A57" s="237" t="s">
        <v>484</v>
      </c>
      <c r="B57" s="236" t="s">
        <v>485</v>
      </c>
      <c r="C57" s="221">
        <v>1.5680000000000001</v>
      </c>
      <c r="D57" s="220">
        <v>1.5589999999999999</v>
      </c>
      <c r="E57" s="219">
        <v>1.446</v>
      </c>
      <c r="F57" s="220">
        <v>1.3620000000000001</v>
      </c>
      <c r="G57" s="219">
        <v>0.99199999999999999</v>
      </c>
      <c r="H57" s="220">
        <v>1.0229999999999999</v>
      </c>
    </row>
    <row r="58" spans="1:8">
      <c r="A58" s="237" t="s">
        <v>486</v>
      </c>
      <c r="B58" s="236" t="s">
        <v>487</v>
      </c>
      <c r="C58" s="221">
        <v>1.546</v>
      </c>
      <c r="D58" s="220">
        <v>1.6020000000000001</v>
      </c>
      <c r="E58" s="219">
        <v>1.6890000000000001</v>
      </c>
      <c r="F58" s="220">
        <v>1.66</v>
      </c>
      <c r="G58" s="219">
        <v>0.84899999999999998</v>
      </c>
      <c r="H58" s="220">
        <v>0.98399999999999999</v>
      </c>
    </row>
    <row r="59" spans="1:8">
      <c r="A59" s="237" t="s">
        <v>488</v>
      </c>
      <c r="B59" s="236" t="s">
        <v>489</v>
      </c>
      <c r="C59" s="221">
        <v>1.6519999999999999</v>
      </c>
      <c r="D59" s="220">
        <v>1.657</v>
      </c>
      <c r="E59" s="219">
        <v>1.63</v>
      </c>
      <c r="F59" s="220">
        <v>1.5860000000000001</v>
      </c>
      <c r="G59" s="219">
        <v>0.97299999999999998</v>
      </c>
      <c r="H59" s="220">
        <v>0.95599999999999996</v>
      </c>
    </row>
    <row r="60" spans="1:8">
      <c r="A60" s="237" t="s">
        <v>490</v>
      </c>
      <c r="B60" s="236" t="s">
        <v>491</v>
      </c>
      <c r="C60" s="221">
        <v>1.5069999999999999</v>
      </c>
      <c r="D60" s="220">
        <v>1.534</v>
      </c>
      <c r="E60" s="219">
        <v>1.645</v>
      </c>
      <c r="F60" s="220">
        <v>1.6</v>
      </c>
      <c r="G60" s="219">
        <v>0.90300000000000002</v>
      </c>
      <c r="H60" s="220">
        <v>0.89300000000000002</v>
      </c>
    </row>
    <row r="61" spans="1:8">
      <c r="A61" s="237" t="s">
        <v>492</v>
      </c>
      <c r="B61" s="236" t="s">
        <v>493</v>
      </c>
      <c r="C61" s="221">
        <v>1.4630000000000001</v>
      </c>
      <c r="D61" s="220">
        <v>1.425</v>
      </c>
      <c r="E61" s="219">
        <v>1.4550000000000001</v>
      </c>
      <c r="F61" s="220">
        <v>1.4570000000000001</v>
      </c>
      <c r="G61" s="219">
        <v>0.85</v>
      </c>
      <c r="H61" s="220">
        <v>0.82899999999999996</v>
      </c>
    </row>
    <row r="62" spans="1:8">
      <c r="A62" s="237" t="s">
        <v>494</v>
      </c>
      <c r="B62" s="236" t="s">
        <v>495</v>
      </c>
      <c r="C62" s="221">
        <v>1.399</v>
      </c>
      <c r="D62" s="220">
        <v>1.427</v>
      </c>
      <c r="E62" s="219">
        <v>1.7110000000000001</v>
      </c>
      <c r="F62" s="220">
        <v>1.67</v>
      </c>
      <c r="G62" s="219">
        <v>0.78700000000000003</v>
      </c>
      <c r="H62" s="220">
        <v>0.76800000000000002</v>
      </c>
    </row>
    <row r="63" spans="1:8">
      <c r="A63" s="238" t="s">
        <v>496</v>
      </c>
      <c r="B63" s="239" t="s">
        <v>497</v>
      </c>
      <c r="C63" s="231">
        <v>1.319</v>
      </c>
      <c r="D63" s="230">
        <v>1.3160000000000001</v>
      </c>
      <c r="E63" s="232">
        <v>1.423</v>
      </c>
      <c r="F63" s="230">
        <v>1.4219999999999999</v>
      </c>
      <c r="G63" s="232">
        <v>1.054</v>
      </c>
      <c r="H63" s="230">
        <v>1.046</v>
      </c>
    </row>
  </sheetData>
  <mergeCells count="5">
    <mergeCell ref="A3:H3"/>
    <mergeCell ref="A5:H5"/>
    <mergeCell ref="C6:D6"/>
    <mergeCell ref="E6:F6"/>
    <mergeCell ref="G6:H6"/>
  </mergeCells>
  <pageMargins left="0.7" right="0.7" top="0.75" bottom="0.75" header="0.3" footer="0.3"/>
  <pageSetup scale="78" orientation="portrait" horizontalDpi="360" verticalDpi="360" r:id="rId1"/>
  <headerFooter>
    <oddHeader>&amp;R&amp;"Times New Roman,Regular"Page &amp;P of 1</oddHeader>
    <oddFooter>&amp;L© Insurance Services Office, Inc., 2021&amp;CMaine CA-2021-RZRLC&amp;R&amp;"Times New Roman,Regular"EXHIBIT A3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7"/>
  <sheetViews>
    <sheetView zoomScaleNormal="100" zoomScaleSheetLayoutView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66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29" ht="13.15">
      <c r="A4" s="266" t="s">
        <v>341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66" t="s">
        <v>78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8" t="str">
        <f t="shared" ref="A11:A13" si="0">TEXT(DATE(YEAR(A12)-1,MONTH(A12),DAY(A12)),"mm/dd/yy")</f>
        <v>12/31/15</v>
      </c>
      <c r="C11" s="108">
        <v>22243470</v>
      </c>
      <c r="E11" s="109">
        <f t="shared" ref="E11:E12" si="1">K78</f>
        <v>31648969.026000001</v>
      </c>
      <c r="F11" s="2"/>
      <c r="G11" s="10">
        <f>IFERROR(ROUND(E11/C11,3),0)</f>
        <v>1.423</v>
      </c>
      <c r="I11" s="182">
        <f>IF(I15=0.3,0.1,0)</f>
        <v>0.1</v>
      </c>
      <c r="K11" s="194">
        <v>1370</v>
      </c>
    </row>
    <row r="12" spans="1:29" ht="13.15">
      <c r="A12" s="168" t="str">
        <f t="shared" si="0"/>
        <v>12/31/16</v>
      </c>
      <c r="C12" s="108">
        <v>22802690</v>
      </c>
      <c r="E12" s="109">
        <f t="shared" si="1"/>
        <v>40966337.023999996</v>
      </c>
      <c r="F12" s="2"/>
      <c r="G12" s="10">
        <f t="shared" ref="G12:G15" si="2">IFERROR(ROUND(E12/C12,3),0)</f>
        <v>1.7969999999999999</v>
      </c>
      <c r="I12" s="182">
        <f>IF(I15=0.3,0.15,0)</f>
        <v>0.15</v>
      </c>
      <c r="K12" s="194">
        <v>1798</v>
      </c>
    </row>
    <row r="13" spans="1:29" ht="13.15">
      <c r="A13" s="168" t="str">
        <f t="shared" si="0"/>
        <v>12/31/17</v>
      </c>
      <c r="B13" s="60"/>
      <c r="C13" s="108">
        <v>22952001</v>
      </c>
      <c r="D13" s="2"/>
      <c r="E13" s="109">
        <f>K80</f>
        <v>41266867.659999996</v>
      </c>
      <c r="F13" s="2"/>
      <c r="G13" s="10">
        <f t="shared" si="2"/>
        <v>1.798</v>
      </c>
      <c r="H13" s="2"/>
      <c r="I13" s="182">
        <f>IF(I15=0.7,0,0.2)</f>
        <v>0.2</v>
      </c>
      <c r="J13" s="2"/>
      <c r="K13" s="194">
        <v>1671</v>
      </c>
    </row>
    <row r="14" spans="1:29" ht="13.15">
      <c r="A14" s="168" t="str">
        <f>TEXT(DATE(YEAR(A15)-1,MONTH(A15),DAY(A15)),"mm/dd/yy")</f>
        <v>12/31/18</v>
      </c>
      <c r="B14" s="60"/>
      <c r="C14" s="108">
        <v>20605406</v>
      </c>
      <c r="D14" s="2"/>
      <c r="E14" s="109">
        <f>K81</f>
        <v>33575669.672999993</v>
      </c>
      <c r="F14" s="2"/>
      <c r="G14" s="10">
        <f t="shared" si="2"/>
        <v>1.629</v>
      </c>
      <c r="H14" s="2"/>
      <c r="I14" s="182">
        <f>IF(I15=0.7,0.3,IF(I15=0.5,0.3,0.25))</f>
        <v>0.25</v>
      </c>
      <c r="J14" s="2"/>
      <c r="K14" s="194">
        <v>1367</v>
      </c>
    </row>
    <row r="15" spans="1:29" ht="13.15">
      <c r="A15" s="168" t="str">
        <f>TEXT(DZ_FACTORS!$C$3,"mm/dd/yy")</f>
        <v>12/31/19</v>
      </c>
      <c r="B15" s="60"/>
      <c r="C15" s="108">
        <v>18827766</v>
      </c>
      <c r="D15" s="2"/>
      <c r="E15" s="109">
        <f>K82</f>
        <v>24565669.760000002</v>
      </c>
      <c r="F15" s="2"/>
      <c r="G15" s="10">
        <f t="shared" si="2"/>
        <v>1.3049999999999999</v>
      </c>
      <c r="H15" s="2"/>
      <c r="I15" s="182">
        <f>IF(AVERAGE(K15,K14)&gt;DZ_FACTORS!$E$14,0.7,IF(AVERAGE(K13:K15)&gt;DZ_FACTORS!$F$14,0.5,0.3))</f>
        <v>0.3</v>
      </c>
      <c r="J15" s="2"/>
      <c r="K15" s="194">
        <v>1013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297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1.571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114</v>
      </c>
      <c r="C19" s="2"/>
      <c r="D19" s="2"/>
      <c r="E19" s="2"/>
      <c r="F19" s="2"/>
      <c r="G19" s="2"/>
      <c r="H19" s="2"/>
      <c r="I19" s="2"/>
      <c r="J19" s="2"/>
      <c r="K19" s="10">
        <f>ROUND(((1+K75)^DZ_FACTORS!C6),3)</f>
        <v>1.24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4"/>
      <c r="J20" s="2"/>
      <c r="K20" s="2"/>
    </row>
    <row r="21" spans="1:11" ht="13.15">
      <c r="A21" s="4" t="s">
        <v>14</v>
      </c>
      <c r="B21" s="2" t="s">
        <v>115</v>
      </c>
      <c r="C21" s="2"/>
      <c r="D21" s="2"/>
      <c r="E21" s="2"/>
      <c r="F21" s="2"/>
      <c r="G21" s="2"/>
      <c r="H21" s="2"/>
      <c r="I21" s="2"/>
      <c r="J21" s="2"/>
      <c r="K21" s="174">
        <f>MIN(IF(SUM(K11:K15)&gt;0,MAX(FLOOR((SUMIF(I11:I15,"&gt;0",K11:K15)/DZ_FACTORS!$E$14)^0.5,0.05),0.05),0),1)</f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1.488</v>
      </c>
    </row>
    <row r="24" spans="1:11" ht="13.15">
      <c r="A24" s="4"/>
      <c r="B24" s="2" t="s">
        <v>116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0.48799999999999999</v>
      </c>
    </row>
    <row r="27" spans="1:11" ht="13.15">
      <c r="A27" s="4"/>
      <c r="B27" s="2" t="s">
        <v>117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118</v>
      </c>
      <c r="C29" s="2"/>
      <c r="D29" s="2"/>
      <c r="E29" s="2"/>
      <c r="F29" s="2"/>
      <c r="G29" s="2"/>
      <c r="H29" s="2"/>
      <c r="I29" s="2"/>
      <c r="K29" s="64">
        <v>0.48799999999999999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349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350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 t="s">
        <v>21</v>
      </c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119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120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2"/>
      <c r="B41" s="2" t="s">
        <v>27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28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15" t="s">
        <v>29</v>
      </c>
      <c r="C43" s="2"/>
      <c r="D43" s="2"/>
      <c r="E43" s="2"/>
      <c r="F43" s="2"/>
      <c r="G43" s="2"/>
      <c r="H43" s="2"/>
      <c r="I43" s="2"/>
      <c r="J43" s="2"/>
      <c r="K43" s="16"/>
    </row>
    <row r="44" spans="1:12" ht="13.15">
      <c r="A44" s="2"/>
      <c r="B44" s="120" t="str">
        <f>TEXT(DZ_FACTORS!$C$4,"mm/dd/yy")&amp;" WHICH IS ASSUMED FOR THE PURPOSES OF TRENDING, SUBJECT TO A"</f>
        <v>04/01/22 WHICH IS ASSUMED FOR THE PURPOSES OF TRENDING, SUBJECT TO A</v>
      </c>
      <c r="D44" s="34"/>
      <c r="E44" s="35"/>
      <c r="F44" s="35"/>
      <c r="G44" s="35"/>
      <c r="H44" s="35"/>
      <c r="I44" s="35"/>
      <c r="J44" s="35"/>
      <c r="K44" s="35"/>
      <c r="L44" s="35"/>
    </row>
    <row r="45" spans="1:12" ht="13.15">
      <c r="A45" s="2"/>
      <c r="B45" s="2" t="s">
        <v>111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2" t="str">
        <f>"PAGE, FOOTNOTE B. IN THIS REVISION, THE PERIOD M IS "&amp;TEXT(DZ_FACTORS!$C$6,"0.00")&amp;" YEAR(S)."</f>
        <v>PAGE, FOOTNOTE B. IN THIS REVISION, THE PERIOD M IS 3.75 YEAR(S).</v>
      </c>
      <c r="C46" s="2"/>
      <c r="D46" s="2"/>
      <c r="E46" s="2"/>
      <c r="F46" s="2"/>
      <c r="G46" s="2"/>
      <c r="H46" s="2"/>
      <c r="I46" s="59"/>
      <c r="J46" s="59"/>
      <c r="K46" s="58"/>
    </row>
    <row r="47" spans="1:12" ht="13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2" ht="13.15">
      <c r="A48" s="4" t="s">
        <v>30</v>
      </c>
      <c r="B48" s="2" t="str">
        <f>"CREDIBILITY IS BASED ON A "&amp;TEXT(DZ_FACTORS!$C$14,"0")&amp;" YEAR TOTAL OF CLAIMS FOR B.I. AND P.D."</f>
        <v>CREDIBILITY IS BASED ON A 5 YEAR TOTAL OF CLAIMS FOR B.I. AND P.D.</v>
      </c>
      <c r="C48" s="2"/>
      <c r="D48" s="2"/>
      <c r="E48" s="2"/>
      <c r="F48" s="116"/>
      <c r="G48" s="2"/>
      <c r="H48" s="2"/>
      <c r="I48" s="2"/>
      <c r="J48" s="2"/>
      <c r="K48" s="2"/>
    </row>
    <row r="49" spans="1:17" ht="13.15">
      <c r="A49" s="2"/>
      <c r="B49" s="2" t="str">
        <f>"SHOWN IN COLUMN (5). THE STANDARD FOR FULL CREDIBILITY IS "&amp;TEXT(DZ_FACTORS!$E$14,"#,0")</f>
        <v>SHOWN IN COLUMN (5). THE STANDARD FOR FULL CREDIBILITY IS 11,500</v>
      </c>
      <c r="C49" s="2"/>
      <c r="D49" s="2"/>
      <c r="E49" s="2"/>
      <c r="F49" s="2"/>
      <c r="G49" s="2"/>
      <c r="H49" s="2"/>
      <c r="I49" s="119"/>
      <c r="J49" s="2"/>
      <c r="K49" s="2"/>
    </row>
    <row r="50" spans="1:17" ht="13.15">
      <c r="A50" s="2"/>
      <c r="B50" s="2" t="s">
        <v>298</v>
      </c>
      <c r="C50" s="2"/>
      <c r="D50" s="2"/>
      <c r="E50" s="2"/>
      <c r="F50" s="2"/>
      <c r="G50" s="2"/>
      <c r="H50" s="2"/>
      <c r="I50" s="2"/>
      <c r="J50" s="2"/>
      <c r="K50" s="2"/>
      <c r="Q50" s="19"/>
    </row>
    <row r="51" spans="1:17" ht="13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Q51" s="19"/>
    </row>
    <row r="52" spans="1:17" ht="13.15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Q52" s="19"/>
    </row>
    <row r="53" spans="1:17" ht="13.15">
      <c r="A53" s="1" t="s">
        <v>0</v>
      </c>
      <c r="B53" s="1"/>
      <c r="C53" s="2"/>
      <c r="D53" s="2"/>
      <c r="E53" s="2"/>
      <c r="F53" s="2"/>
      <c r="G53" s="2"/>
      <c r="H53" s="2"/>
      <c r="I53" s="2"/>
      <c r="J53" s="2"/>
      <c r="K53" s="2"/>
    </row>
    <row r="54" spans="1:17" ht="13.1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266" t="str">
        <f>A3</f>
        <v>MULTISTATE</v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</row>
    <row r="56" spans="1:17" ht="13.15">
      <c r="A56" s="264" t="s">
        <v>342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</row>
    <row r="57" spans="1:17" ht="13.15">
      <c r="A57" s="264" t="s">
        <v>80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</row>
    <row r="58" spans="1:17" ht="13.15">
      <c r="A58" s="264" t="s">
        <v>81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5"/>
    </row>
    <row r="59" spans="1:17" ht="13.15">
      <c r="A59" s="20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7" ht="26.25">
      <c r="A60" s="4"/>
      <c r="B60" s="2"/>
      <c r="C60" s="2"/>
      <c r="D60" s="2"/>
      <c r="E60" s="6" t="s">
        <v>31</v>
      </c>
      <c r="F60" s="21"/>
      <c r="G60" s="6" t="s">
        <v>32</v>
      </c>
      <c r="H60" s="21"/>
      <c r="I60" s="6" t="s">
        <v>33</v>
      </c>
      <c r="J60" s="21"/>
      <c r="K60" s="21" t="s">
        <v>34</v>
      </c>
    </row>
    <row r="61" spans="1:17" ht="13.15">
      <c r="A61" s="4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7" ht="13.15">
      <c r="A62" s="4"/>
      <c r="B62" s="4" t="s">
        <v>1</v>
      </c>
      <c r="C62" s="2" t="s">
        <v>35</v>
      </c>
      <c r="D62" s="2"/>
      <c r="E62" s="7" t="str">
        <f>A11</f>
        <v>12/31/15</v>
      </c>
      <c r="G62" s="110">
        <v>11935708</v>
      </c>
      <c r="H62" s="110"/>
      <c r="I62" s="110">
        <v>6612754</v>
      </c>
      <c r="J62" s="2"/>
      <c r="K62" s="2"/>
    </row>
    <row r="63" spans="1:17" ht="13.15">
      <c r="A63" s="4"/>
      <c r="B63" s="4"/>
      <c r="C63" s="2" t="s">
        <v>36</v>
      </c>
      <c r="D63" s="2"/>
      <c r="E63" s="7" t="str">
        <f>A12</f>
        <v>12/31/16</v>
      </c>
      <c r="G63" s="110">
        <v>15081318</v>
      </c>
      <c r="H63" s="110"/>
      <c r="I63" s="110">
        <v>9722931</v>
      </c>
      <c r="J63" s="2"/>
      <c r="K63" s="2"/>
    </row>
    <row r="64" spans="1:17" ht="13.15">
      <c r="A64" s="4"/>
      <c r="B64" s="4"/>
      <c r="C64" s="2" t="s">
        <v>37</v>
      </c>
      <c r="D64" s="2"/>
      <c r="E64" s="7" t="str">
        <f>A13</f>
        <v>12/31/17</v>
      </c>
      <c r="F64" s="2"/>
      <c r="G64" s="110">
        <v>15776987</v>
      </c>
      <c r="H64" s="110"/>
      <c r="I64" s="110">
        <v>8914468</v>
      </c>
      <c r="J64" s="2"/>
      <c r="K64" s="2"/>
    </row>
    <row r="65" spans="1:11" ht="13.15">
      <c r="A65" s="4"/>
      <c r="B65" s="4"/>
      <c r="C65" s="2"/>
      <c r="D65" s="2"/>
      <c r="E65" s="7" t="str">
        <f>A14</f>
        <v>12/31/18</v>
      </c>
      <c r="F65" s="2"/>
      <c r="G65" s="110">
        <v>11559861</v>
      </c>
      <c r="H65" s="110"/>
      <c r="I65" s="110">
        <v>6682867</v>
      </c>
      <c r="J65" s="2"/>
      <c r="K65" s="2"/>
    </row>
    <row r="66" spans="1:11" ht="13.15">
      <c r="A66" s="4"/>
      <c r="B66" s="4"/>
      <c r="C66" s="2"/>
      <c r="D66" s="2"/>
      <c r="E66" s="7" t="str">
        <f>A15</f>
        <v>12/31/19</v>
      </c>
      <c r="F66" s="2"/>
      <c r="G66" s="110">
        <v>6697434</v>
      </c>
      <c r="H66" s="110"/>
      <c r="I66" s="110">
        <v>4844218</v>
      </c>
      <c r="J66" s="2"/>
      <c r="K66" s="2"/>
    </row>
    <row r="67" spans="1:11" ht="13.15">
      <c r="A67" s="4"/>
      <c r="B67" s="2"/>
      <c r="C67" s="2"/>
      <c r="D67" s="2"/>
      <c r="J67" s="2"/>
      <c r="K67" s="2"/>
    </row>
    <row r="68" spans="1:11" ht="13.15">
      <c r="A68" s="4"/>
      <c r="B68" s="4" t="s">
        <v>2</v>
      </c>
      <c r="C68" s="2" t="s">
        <v>38</v>
      </c>
      <c r="D68" s="2"/>
      <c r="E68" s="7" t="str">
        <f>A11</f>
        <v>12/31/15</v>
      </c>
      <c r="F68" s="2"/>
      <c r="G68" s="111">
        <f t="shared" ref="G68:G69" si="3">ROUND(G62*$I$86*G89,0)</f>
        <v>12997688</v>
      </c>
      <c r="H68" s="111"/>
      <c r="I68" s="111">
        <f t="shared" ref="I68:I69" si="4">ROUND(I62*$K$86*I89,0)</f>
        <v>7303126</v>
      </c>
      <c r="K68" s="2"/>
    </row>
    <row r="69" spans="1:11" ht="13.15">
      <c r="A69" s="4"/>
      <c r="B69" s="4"/>
      <c r="C69" s="2" t="s">
        <v>39</v>
      </c>
      <c r="D69" s="2"/>
      <c r="E69" s="7" t="str">
        <f>A12</f>
        <v>12/31/16</v>
      </c>
      <c r="F69" s="2"/>
      <c r="G69" s="111">
        <f t="shared" si="3"/>
        <v>17006825</v>
      </c>
      <c r="H69" s="111"/>
      <c r="I69" s="111">
        <f t="shared" si="4"/>
        <v>10823567</v>
      </c>
      <c r="K69" s="2"/>
    </row>
    <row r="70" spans="1:11" ht="13.15">
      <c r="A70" s="4"/>
      <c r="C70" s="2" t="s">
        <v>40</v>
      </c>
      <c r="D70" s="2"/>
      <c r="E70" s="7" t="str">
        <f>A13</f>
        <v>12/31/17</v>
      </c>
      <c r="F70" s="2"/>
      <c r="G70" s="111">
        <f>ROUND(G64*$I$86*G91,0)</f>
        <v>19656943</v>
      </c>
      <c r="H70" s="111"/>
      <c r="I70" s="111">
        <f>ROUND(I64*$K$86*I91,0)</f>
        <v>10031451</v>
      </c>
      <c r="J70" s="2"/>
      <c r="K70" s="60"/>
    </row>
    <row r="71" spans="1:11" ht="13.15">
      <c r="A71" s="4"/>
      <c r="B71" s="4"/>
      <c r="C71" s="2"/>
      <c r="D71" s="2"/>
      <c r="E71" s="7" t="str">
        <f>A14</f>
        <v>12/31/18</v>
      </c>
      <c r="F71" s="2"/>
      <c r="G71" s="111">
        <f>ROUND(G65*$I$86*G92,0)</f>
        <v>17720689</v>
      </c>
      <c r="H71" s="111"/>
      <c r="I71" s="111">
        <f>ROUND(I65*$K$86*I92,0)</f>
        <v>7851032</v>
      </c>
      <c r="J71" s="2"/>
      <c r="K71" s="2"/>
    </row>
    <row r="72" spans="1:11" ht="13.15">
      <c r="A72" s="4"/>
      <c r="C72" s="2"/>
      <c r="D72" s="2"/>
      <c r="E72" s="7" t="str">
        <f>A15</f>
        <v>12/31/19</v>
      </c>
      <c r="F72" s="2"/>
      <c r="G72" s="111">
        <f>ROUND(G66*$I$86*G93,0)</f>
        <v>13816304</v>
      </c>
      <c r="H72" s="111"/>
      <c r="I72" s="111">
        <f>ROUND(I66*$K$86*I93,0)</f>
        <v>5994720</v>
      </c>
      <c r="J72" s="2"/>
      <c r="K72" s="2"/>
    </row>
    <row r="73" spans="1:11" ht="13.15">
      <c r="A73" s="4"/>
      <c r="B73" s="2"/>
      <c r="C73" s="2"/>
      <c r="D73" s="2"/>
      <c r="J73" s="2"/>
      <c r="K73" s="2"/>
    </row>
    <row r="74" spans="1:11" ht="13.15">
      <c r="A74" s="2"/>
      <c r="B74" s="4" t="s">
        <v>3</v>
      </c>
      <c r="C74" s="2" t="s">
        <v>41</v>
      </c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/>
      <c r="C75" s="2" t="s">
        <v>42</v>
      </c>
      <c r="D75" s="2"/>
      <c r="E75" s="2"/>
      <c r="F75" s="2"/>
      <c r="G75" s="107">
        <f>'EXHIBIT C2'!I38</f>
        <v>5.8999999999999997E-2</v>
      </c>
      <c r="H75" s="61"/>
      <c r="I75" s="107">
        <f>'EXHIBIT C2'!K38</f>
        <v>5.8999999999999997E-2</v>
      </c>
      <c r="J75" s="2"/>
      <c r="K75" s="23">
        <f>ROUND((((G72*(1+G75))+(I72*(1+I75)))/(G72+I72))-1,3)</f>
        <v>5.8999999999999997E-2</v>
      </c>
    </row>
    <row r="76" spans="1:11" ht="13.15">
      <c r="A76" s="2"/>
      <c r="B76" s="4"/>
      <c r="C76" s="2" t="s">
        <v>43</v>
      </c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 t="s">
        <v>4</v>
      </c>
      <c r="C78" s="2" t="s">
        <v>44</v>
      </c>
      <c r="D78" s="2"/>
      <c r="E78" s="7" t="str">
        <f>A11</f>
        <v>12/31/15</v>
      </c>
      <c r="F78" s="2"/>
      <c r="G78" s="111">
        <f t="shared" ref="G78:G79" si="5">G68*ROUND(((1+$G$75)^I101),3)</f>
        <v>20263395.592</v>
      </c>
      <c r="H78" s="111"/>
      <c r="I78" s="111">
        <f t="shared" ref="I78:I79" si="6">I68*ROUND(((1+$I$75)^I101),3)</f>
        <v>11385573.434</v>
      </c>
      <c r="J78" s="111"/>
      <c r="K78" s="111">
        <f t="shared" ref="K78:K79" si="7">G78+I78</f>
        <v>31648969.026000001</v>
      </c>
    </row>
    <row r="79" spans="1:11" ht="13.15">
      <c r="A79" s="2"/>
      <c r="B79" s="2"/>
      <c r="C79" s="2" t="s">
        <v>39</v>
      </c>
      <c r="D79" s="2"/>
      <c r="E79" s="7" t="str">
        <f>A12</f>
        <v>12/31/16</v>
      </c>
      <c r="F79" s="2"/>
      <c r="G79" s="111">
        <f t="shared" si="5"/>
        <v>25034046.399999999</v>
      </c>
      <c r="H79" s="111"/>
      <c r="I79" s="111">
        <f t="shared" si="6"/>
        <v>15932290.624</v>
      </c>
      <c r="J79" s="111"/>
      <c r="K79" s="111">
        <f t="shared" si="7"/>
        <v>40966337.023999996</v>
      </c>
    </row>
    <row r="80" spans="1:11" ht="13.15">
      <c r="A80" s="2"/>
      <c r="B80" s="2"/>
      <c r="C80" s="2" t="s">
        <v>45</v>
      </c>
      <c r="D80" s="2"/>
      <c r="E80" s="7" t="str">
        <f>A13</f>
        <v>12/31/17</v>
      </c>
      <c r="F80" s="2"/>
      <c r="G80" s="111">
        <f>G70*ROUND(((1+$G$75)^I103),3)</f>
        <v>27323150.77</v>
      </c>
      <c r="H80" s="111"/>
      <c r="I80" s="111">
        <f>I70*ROUND(((1+$I$75)^I103),3)</f>
        <v>13943716.889999999</v>
      </c>
      <c r="J80" s="111"/>
      <c r="K80" s="111">
        <f>G80+I80</f>
        <v>41266867.659999996</v>
      </c>
    </row>
    <row r="81" spans="1:11" ht="13.15">
      <c r="A81" s="2"/>
      <c r="E81" s="7" t="str">
        <f>A14</f>
        <v>12/31/18</v>
      </c>
      <c r="F81" s="2"/>
      <c r="G81" s="111">
        <f>G71*ROUND(((1+$G$75)^I104),3)</f>
        <v>23267264.656999998</v>
      </c>
      <c r="H81" s="111"/>
      <c r="I81" s="111">
        <f>I71*ROUND(((1+$I$75)^I104),3)</f>
        <v>10308405.015999999</v>
      </c>
      <c r="J81" s="111"/>
      <c r="K81" s="111">
        <f>G81+I81</f>
        <v>33575669.672999993</v>
      </c>
    </row>
    <row r="82" spans="1:11" ht="13.15">
      <c r="A82" s="2"/>
      <c r="E82" s="7" t="str">
        <f>A15</f>
        <v>12/31/19</v>
      </c>
      <c r="F82" s="2"/>
      <c r="G82" s="111">
        <f>G72*ROUND(((1+$G$75)^I105),3)</f>
        <v>17132216.960000001</v>
      </c>
      <c r="H82" s="111"/>
      <c r="I82" s="111">
        <f>I72*ROUND(((1+$I$75)^I105),3)</f>
        <v>7433452.7999999998</v>
      </c>
      <c r="J82" s="111"/>
      <c r="K82" s="111">
        <f>G82+I82</f>
        <v>24565669.760000002</v>
      </c>
    </row>
    <row r="83" spans="1:11" ht="13.15">
      <c r="A83" s="2"/>
      <c r="B83" s="2"/>
      <c r="C83" s="2"/>
      <c r="D83" s="2"/>
    </row>
    <row r="84" spans="1:11" ht="13.15">
      <c r="A84" s="2"/>
      <c r="B84" s="21" t="s">
        <v>20</v>
      </c>
      <c r="C84" s="2" t="s">
        <v>46</v>
      </c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2"/>
      <c r="C85" s="2" t="s">
        <v>47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48</v>
      </c>
      <c r="D86" s="2"/>
      <c r="E86" s="2"/>
      <c r="F86" s="2"/>
      <c r="G86" s="2"/>
      <c r="H86" s="2" t="s">
        <v>49</v>
      </c>
      <c r="I86" s="93">
        <f>1+'EXHIBIT C1'!$I$26</f>
        <v>1.075</v>
      </c>
      <c r="J86" s="22" t="s">
        <v>50</v>
      </c>
      <c r="K86" s="93">
        <f>1+'EXHIBIT C1'!$I$44</f>
        <v>1.1000000000000001</v>
      </c>
    </row>
    <row r="87" spans="1:11" ht="13.15">
      <c r="A87" s="2"/>
      <c r="B87" s="2"/>
      <c r="C87" s="2" t="s">
        <v>51</v>
      </c>
      <c r="D87" s="2"/>
      <c r="E87" s="2"/>
      <c r="F87" s="2"/>
      <c r="G87" s="2"/>
      <c r="H87" s="2"/>
      <c r="I87" s="22"/>
      <c r="J87" s="22"/>
      <c r="K87" s="22"/>
    </row>
    <row r="88" spans="1:11" ht="13.15">
      <c r="A88" s="2"/>
      <c r="B88" s="2"/>
      <c r="C88" s="2"/>
      <c r="D88" s="2"/>
      <c r="E88" s="6" t="s">
        <v>52</v>
      </c>
      <c r="F88" s="2"/>
      <c r="G88" s="21" t="s">
        <v>49</v>
      </c>
      <c r="H88" s="2"/>
      <c r="I88" s="21" t="s">
        <v>50</v>
      </c>
      <c r="J88" s="2"/>
      <c r="K88" s="2"/>
    </row>
    <row r="89" spans="1:11" ht="13.15">
      <c r="A89" s="2"/>
      <c r="B89" s="2"/>
      <c r="C89" s="2"/>
      <c r="D89" s="2"/>
      <c r="E89" s="7" t="str">
        <f>A11</f>
        <v>12/31/15</v>
      </c>
      <c r="G89" s="25">
        <f>'EXHIBIT C9'!F44</f>
        <v>1.0129999999999999</v>
      </c>
      <c r="H89" s="1"/>
      <c r="I89" s="25">
        <f>'EXHIBIT C9'!F132</f>
        <v>1.004</v>
      </c>
      <c r="J89" s="2"/>
      <c r="K89" s="2"/>
    </row>
    <row r="90" spans="1:11" ht="13.15">
      <c r="A90" s="2"/>
      <c r="B90" s="2"/>
      <c r="C90" s="2"/>
      <c r="D90" s="2"/>
      <c r="E90" s="7" t="str">
        <f>A12</f>
        <v>12/31/16</v>
      </c>
      <c r="G90" s="25">
        <f>'EXHIBIT C9'!F45</f>
        <v>1.0489999999999999</v>
      </c>
      <c r="H90" s="1"/>
      <c r="I90" s="25">
        <f>'EXHIBIT C9'!F133</f>
        <v>1.012</v>
      </c>
      <c r="J90" s="2"/>
      <c r="K90" s="2"/>
    </row>
    <row r="91" spans="1:11" ht="13.15">
      <c r="A91" s="2"/>
      <c r="B91" s="2"/>
      <c r="C91" s="2"/>
      <c r="D91" s="2"/>
      <c r="E91" s="7" t="str">
        <f>A13</f>
        <v>12/31/17</v>
      </c>
      <c r="F91" s="2"/>
      <c r="G91" s="25">
        <f>'EXHIBIT C9'!F46</f>
        <v>1.159</v>
      </c>
      <c r="H91" s="1"/>
      <c r="I91" s="25">
        <f>'EXHIBIT C9'!F134</f>
        <v>1.0229999999999999</v>
      </c>
      <c r="J91" s="2"/>
      <c r="K91" s="2"/>
    </row>
    <row r="92" spans="1:11" ht="13.15">
      <c r="A92" s="2"/>
      <c r="B92" s="2"/>
      <c r="C92" s="2"/>
      <c r="D92" s="2"/>
      <c r="E92" s="7" t="str">
        <f>A14</f>
        <v>12/31/18</v>
      </c>
      <c r="F92" s="2"/>
      <c r="G92" s="25">
        <f>'EXHIBIT C9'!F47</f>
        <v>1.4259999999999999</v>
      </c>
      <c r="H92" s="1"/>
      <c r="I92" s="25">
        <f>'EXHIBIT C9'!F135</f>
        <v>1.0680000000000001</v>
      </c>
      <c r="J92" s="2"/>
      <c r="K92" s="2"/>
    </row>
    <row r="93" spans="1:11" ht="13.15">
      <c r="A93" s="2"/>
      <c r="B93" s="2"/>
      <c r="C93" s="2"/>
      <c r="D93" s="2"/>
      <c r="E93" s="7" t="str">
        <f>A15</f>
        <v>12/31/19</v>
      </c>
      <c r="F93" s="2"/>
      <c r="G93" s="25">
        <f>'EXHIBIT C9'!F48</f>
        <v>1.919</v>
      </c>
      <c r="H93" s="1"/>
      <c r="I93" s="25">
        <f>'EXHIBIT C9'!F136</f>
        <v>1.125</v>
      </c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 t="s">
        <v>21</v>
      </c>
      <c r="C95" s="2" t="s">
        <v>53</v>
      </c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tr">
        <f>"YEAR BEYOND THE ANTICIPATED IMPLEMENTATION DATE OF "&amp;TEXT(DZ_FACTORS!$C$4,"mm/dd/yy")</f>
        <v>YEAR BEYOND THE ANTICIPATED IMPLEMENTATION DATE OF 04/01/22</v>
      </c>
      <c r="D97" s="2"/>
      <c r="E97" s="2"/>
      <c r="F97" s="2"/>
      <c r="G97" s="2"/>
      <c r="H97" s="2"/>
      <c r="I97" s="16"/>
      <c r="J97" s="2"/>
      <c r="K97" s="2"/>
    </row>
    <row r="98" spans="1:11" ht="13.15">
      <c r="A98" s="2"/>
      <c r="B98" s="2"/>
      <c r="C98" s="2" t="s">
        <v>121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26.25">
      <c r="A100" s="2"/>
      <c r="B100" s="2"/>
      <c r="C100" s="2"/>
      <c r="D100" s="2"/>
      <c r="E100" s="6" t="s">
        <v>52</v>
      </c>
      <c r="F100" s="2"/>
      <c r="G100" s="6" t="s">
        <v>55</v>
      </c>
      <c r="H100" s="2"/>
      <c r="I100" s="6" t="s">
        <v>56</v>
      </c>
      <c r="J100" s="2"/>
      <c r="K100" s="2"/>
    </row>
    <row r="101" spans="1:11" ht="13.15">
      <c r="A101" s="2"/>
      <c r="B101" s="2"/>
      <c r="C101" s="2"/>
      <c r="D101" s="2"/>
      <c r="E101" s="7" t="str">
        <f>A11</f>
        <v>12/31/15</v>
      </c>
      <c r="F101" s="2"/>
      <c r="G101" s="7">
        <f t="shared" ref="G101:G102" si="8">DATE(YEAR(E101),MONTH(E101)-5,DAY(1))</f>
        <v>42186</v>
      </c>
      <c r="H101" s="2"/>
      <c r="I101" s="25">
        <f t="shared" ref="I101:I102" si="9">I102+1</f>
        <v>7.75</v>
      </c>
      <c r="J101" s="2"/>
      <c r="K101" s="2"/>
    </row>
    <row r="102" spans="1:11" ht="13.15">
      <c r="A102" s="2"/>
      <c r="B102" s="2"/>
      <c r="C102" s="2"/>
      <c r="D102" s="2"/>
      <c r="E102" s="7" t="str">
        <f>A12</f>
        <v>12/31/16</v>
      </c>
      <c r="F102" s="2"/>
      <c r="G102" s="7">
        <f t="shared" si="8"/>
        <v>42552</v>
      </c>
      <c r="H102" s="2"/>
      <c r="I102" s="25">
        <f t="shared" si="9"/>
        <v>6.75</v>
      </c>
      <c r="J102" s="2"/>
      <c r="K102" s="2"/>
    </row>
    <row r="103" spans="1:11" ht="13.15">
      <c r="A103" s="2"/>
      <c r="B103" s="2"/>
      <c r="C103" s="2"/>
      <c r="D103" s="2"/>
      <c r="E103" s="7" t="str">
        <f>A13</f>
        <v>12/31/17</v>
      </c>
      <c r="F103" s="2"/>
      <c r="G103" s="7">
        <f>DATE(YEAR(E103),MONTH(E103)-5,DAY(1))</f>
        <v>42917</v>
      </c>
      <c r="H103" s="2"/>
      <c r="I103" s="25">
        <f>I104+1</f>
        <v>5.75</v>
      </c>
      <c r="J103" s="2"/>
      <c r="K103" s="2"/>
    </row>
    <row r="104" spans="1:11" ht="13.15">
      <c r="A104" s="2"/>
      <c r="B104" s="2"/>
      <c r="C104" s="2"/>
      <c r="D104" s="2"/>
      <c r="E104" s="7" t="str">
        <f>A14</f>
        <v>12/31/18</v>
      </c>
      <c r="F104" s="2"/>
      <c r="G104" s="7">
        <f>DATE(YEAR(E104),MONTH(E104)-5,DAY(1))</f>
        <v>43282</v>
      </c>
      <c r="H104" s="2"/>
      <c r="I104" s="25">
        <f>I105+1</f>
        <v>4.75</v>
      </c>
      <c r="J104" s="2"/>
      <c r="K104" s="2"/>
    </row>
    <row r="105" spans="1:11" ht="13.15">
      <c r="A105" s="2"/>
      <c r="B105" s="2"/>
      <c r="C105" s="2"/>
      <c r="D105" s="2"/>
      <c r="E105" s="7" t="str">
        <f>A15</f>
        <v>12/31/19</v>
      </c>
      <c r="F105" s="2"/>
      <c r="G105" s="7">
        <f>DATE(YEAR(E105),MONTH(E105)-5,DAY(1))</f>
        <v>43647</v>
      </c>
      <c r="H105" s="2"/>
      <c r="I105" s="25">
        <f>DZ_FACTORS!C9</f>
        <v>3.75</v>
      </c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</sheetData>
  <mergeCells count="8">
    <mergeCell ref="A56:K56"/>
    <mergeCell ref="A57:K57"/>
    <mergeCell ref="A58:K58"/>
    <mergeCell ref="A4:K4"/>
    <mergeCell ref="A3:K3"/>
    <mergeCell ref="A5:K5"/>
    <mergeCell ref="A6:K6"/>
    <mergeCell ref="A55:K55"/>
  </mergeCells>
  <conditionalFormatting sqref="A11:K11 E62:I62 E68:I68 E78:K78 E89:I89 E101:I101 I90:I93 G90:G93">
    <cfRule type="expression" dxfId="21" priority="3">
      <formula>$I$11=0</formula>
    </cfRule>
  </conditionalFormatting>
  <conditionalFormatting sqref="A12:K12 E63:I63 E69:I69 E79:K79 E90:F90 E102:I102 H90">
    <cfRule type="expression" dxfId="20" priority="2">
      <formula>$I$12=0</formula>
    </cfRule>
  </conditionalFormatting>
  <conditionalFormatting sqref="A13:K13 E64:I64 E70:I70 E80:K80 E91:F91 E103:I103 H91">
    <cfRule type="expression" dxfId="19" priority="1">
      <formula>$I$13=0</formula>
    </cfRule>
  </conditionalFormatting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&amp;L&amp;"Times New Roman,Regular"© Insurance Services Office, Inc., 2021&amp;C&amp;"Times New Roman,Regular"Maine CA-2021-RZRLC&amp;R&amp;"Times New Roman,Regular"&amp;A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6"/>
  <sheetViews>
    <sheetView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10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13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13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13" ht="13.15">
      <c r="A3" s="268" t="s">
        <v>159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</row>
    <row r="4" spans="1:13" ht="13.15">
      <c r="A4" s="266" t="s">
        <v>348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</row>
    <row r="5" spans="1:13" ht="13.15">
      <c r="A5" s="266" t="s">
        <v>498</v>
      </c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3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</row>
    <row r="8" spans="1:13" ht="52.5">
      <c r="A8" s="5" t="s">
        <v>57</v>
      </c>
      <c r="B8" s="2"/>
      <c r="C8" s="5" t="s">
        <v>6</v>
      </c>
      <c r="D8" s="2"/>
      <c r="E8" s="6" t="s">
        <v>7</v>
      </c>
      <c r="F8" s="2"/>
      <c r="G8" s="6" t="s">
        <v>83</v>
      </c>
      <c r="H8" s="2"/>
      <c r="I8" s="6" t="s">
        <v>9</v>
      </c>
      <c r="J8" s="6"/>
      <c r="K8" s="6" t="s">
        <v>10</v>
      </c>
      <c r="L8" s="6"/>
      <c r="M8" s="6" t="s">
        <v>58</v>
      </c>
    </row>
    <row r="9" spans="1:13" ht="13.15">
      <c r="A9" s="2"/>
      <c r="B9" s="2"/>
      <c r="C9" s="168" t="str">
        <f t="shared" ref="C9:C11" si="0">TEXT(DATE(YEAR(C10)-1,MONTH(C10),DAY(C10)),"mm/dd/yy")</f>
        <v>12/31/15</v>
      </c>
      <c r="D9" s="8"/>
      <c r="E9" s="109">
        <f t="shared" ref="E9:E12" si="1">G139</f>
        <v>2736686</v>
      </c>
      <c r="F9" s="111"/>
      <c r="G9" s="109">
        <f t="shared" ref="G9:G12" si="2">G87</f>
        <v>4257797</v>
      </c>
      <c r="H9" s="2"/>
      <c r="I9" s="10">
        <f>IFERROR(ROUND(G9/E9,3),0)</f>
        <v>1.556</v>
      </c>
      <c r="J9" s="2"/>
      <c r="K9" s="182">
        <f>IF(K13=0.3,0.1,0)</f>
        <v>0.1</v>
      </c>
      <c r="L9" s="2"/>
      <c r="M9" s="62">
        <v>235</v>
      </c>
    </row>
    <row r="10" spans="1:13" ht="13.15">
      <c r="A10" s="2"/>
      <c r="B10" s="2"/>
      <c r="C10" s="168" t="str">
        <f t="shared" si="0"/>
        <v>12/31/16</v>
      </c>
      <c r="D10" s="8"/>
      <c r="E10" s="109">
        <f t="shared" si="1"/>
        <v>2846981</v>
      </c>
      <c r="F10" s="111"/>
      <c r="G10" s="109">
        <f t="shared" si="2"/>
        <v>4478647</v>
      </c>
      <c r="H10" s="2"/>
      <c r="I10" s="10">
        <f t="shared" ref="I10:I13" si="3">IFERROR(ROUND(G10/E10,3),0)</f>
        <v>1.573</v>
      </c>
      <c r="J10" s="2"/>
      <c r="K10" s="182">
        <f>IF(K13=0.3,0.15,0)</f>
        <v>0.15</v>
      </c>
      <c r="L10" s="2"/>
      <c r="M10" s="62">
        <v>283</v>
      </c>
    </row>
    <row r="11" spans="1:13" ht="13.15">
      <c r="A11" s="2"/>
      <c r="B11" s="2"/>
      <c r="C11" s="168" t="str">
        <f t="shared" si="0"/>
        <v>12/31/17</v>
      </c>
      <c r="D11" s="8">
        <f>YEAR(C11)</f>
        <v>2017</v>
      </c>
      <c r="E11" s="109">
        <f t="shared" si="1"/>
        <v>2974241</v>
      </c>
      <c r="F11" s="111"/>
      <c r="G11" s="109">
        <f t="shared" si="2"/>
        <v>4348425</v>
      </c>
      <c r="H11" s="2"/>
      <c r="I11" s="10">
        <f t="shared" si="3"/>
        <v>1.462</v>
      </c>
      <c r="J11" s="2"/>
      <c r="K11" s="182">
        <f>IF(K13=0.7,0,0.2)</f>
        <v>0.2</v>
      </c>
      <c r="L11" s="2"/>
      <c r="M11" s="62">
        <v>265</v>
      </c>
    </row>
    <row r="12" spans="1:13" ht="13.15">
      <c r="A12" s="2"/>
      <c r="B12" s="2"/>
      <c r="C12" s="168" t="str">
        <f>TEXT(DATE(YEAR(C13)-1,MONTH(C13),DAY(C13)),"mm/dd/yy")</f>
        <v>12/31/18</v>
      </c>
      <c r="D12" s="8">
        <f>YEAR(C12)</f>
        <v>2018</v>
      </c>
      <c r="E12" s="109">
        <f t="shared" si="1"/>
        <v>2692506</v>
      </c>
      <c r="F12" s="111"/>
      <c r="G12" s="109">
        <f t="shared" si="2"/>
        <v>3480220</v>
      </c>
      <c r="H12" s="2"/>
      <c r="I12" s="10">
        <f t="shared" si="3"/>
        <v>1.2929999999999999</v>
      </c>
      <c r="J12" s="2"/>
      <c r="K12" s="182">
        <f>IF(K13=0.7,0.3,IF(K13=0.5,0.3,0.25))</f>
        <v>0.25</v>
      </c>
      <c r="L12" s="2"/>
      <c r="M12" s="62">
        <v>253</v>
      </c>
    </row>
    <row r="13" spans="1:13" ht="13.15">
      <c r="A13" s="2"/>
      <c r="B13" s="2"/>
      <c r="C13" s="168" t="str">
        <f>TEXT(DZ_FACTORS!$C$3,"mm/dd/yy")</f>
        <v>12/31/19</v>
      </c>
      <c r="D13" s="8">
        <f>YEAR(C13)</f>
        <v>2019</v>
      </c>
      <c r="E13" s="109">
        <f>G143</f>
        <v>2336948</v>
      </c>
      <c r="F13" s="111"/>
      <c r="G13" s="109">
        <f>G91</f>
        <v>2297689</v>
      </c>
      <c r="H13" s="2"/>
      <c r="I13" s="10">
        <f t="shared" si="3"/>
        <v>0.98299999999999998</v>
      </c>
      <c r="J13" s="2"/>
      <c r="K13" s="182">
        <f>IF(AVERAGE(M13,M12)&gt;DZ_FACTORS!$E$15,0.7,IF(AVERAGE(M11:M13)&gt;DZ_FACTORS!$F$15,0.5,0.3))</f>
        <v>0.3</v>
      </c>
      <c r="L13" s="2"/>
      <c r="M13" s="62">
        <v>162</v>
      </c>
    </row>
    <row r="14" spans="1:13" ht="13.15">
      <c r="A14" s="2"/>
      <c r="B14" s="2"/>
      <c r="C14" s="7"/>
      <c r="D14" s="8"/>
      <c r="E14" s="108"/>
      <c r="F14" s="111"/>
      <c r="G14" s="109"/>
      <c r="H14" s="2"/>
      <c r="I14" s="10"/>
      <c r="J14" s="2"/>
      <c r="K14" s="182"/>
      <c r="L14" s="2"/>
      <c r="M14" s="65"/>
    </row>
    <row r="15" spans="1:13" ht="13.15" hidden="1">
      <c r="B15" s="2"/>
      <c r="C15" s="168" t="str">
        <f t="shared" ref="C15:C19" si="4">TEXT(DATE(YEAR(C16)-1,MONTH(C16),DAY(C16)),"mm/dd/yy")</f>
        <v>12/31/15</v>
      </c>
      <c r="E15" s="109">
        <f t="shared" ref="E15:E16" si="5">I139</f>
        <v>8038177</v>
      </c>
      <c r="F15" s="111"/>
      <c r="G15" s="109">
        <f t="shared" ref="G15:G16" si="6">I87</f>
        <v>11247603</v>
      </c>
      <c r="I15" s="10">
        <f>IFERROR(ROUND(G15/E15,3),0)</f>
        <v>1.399</v>
      </c>
      <c r="K15" s="182">
        <f>IF(K21=0.3,0.1,0)</f>
        <v>0.1</v>
      </c>
      <c r="M15" s="62">
        <v>829</v>
      </c>
    </row>
    <row r="16" spans="1:13" ht="13.15" hidden="1">
      <c r="B16" s="2"/>
      <c r="C16" s="168" t="str">
        <f>TEXT(DATE(YEAR(C19)-1,MONTH(C19),DAY(C19)),"mm/dd/yy")</f>
        <v>12/31/16</v>
      </c>
      <c r="E16" s="109">
        <f t="shared" si="5"/>
        <v>8241935</v>
      </c>
      <c r="F16" s="111"/>
      <c r="G16" s="109">
        <f t="shared" si="6"/>
        <v>13431548</v>
      </c>
      <c r="I16" s="10">
        <f t="shared" ref="I16:I21" si="7">IFERROR(ROUND(G16/E16,3),0)</f>
        <v>1.63</v>
      </c>
      <c r="K16" s="182">
        <f>IF(K21=0.3,0.15,0)</f>
        <v>0.15</v>
      </c>
      <c r="M16" s="62">
        <v>686</v>
      </c>
    </row>
    <row r="17" spans="1:13" s="187" customFormat="1" ht="13.15">
      <c r="A17" s="2" t="s">
        <v>59</v>
      </c>
      <c r="B17" s="186"/>
      <c r="C17" s="168" t="str">
        <f t="shared" ref="C17:C18" si="8">TEXT(DATE(YEAR(C18)-1,MONTH(C18),DAY(C18)),"mm/dd/yy")</f>
        <v>12/31/15</v>
      </c>
      <c r="E17" s="109">
        <f t="shared" ref="E17:E18" si="9">I139</f>
        <v>8038177</v>
      </c>
      <c r="F17" s="111"/>
      <c r="G17" s="109">
        <f t="shared" ref="G17:G18" si="10">I87</f>
        <v>11247603</v>
      </c>
      <c r="H17" s="186"/>
      <c r="I17" s="10">
        <f t="shared" ref="I17:I18" si="11">IFERROR(ROUND(G17/E17,3),0)</f>
        <v>1.399</v>
      </c>
      <c r="K17" s="182">
        <f>IF(K21=0.3,0.1,0)</f>
        <v>0.1</v>
      </c>
      <c r="M17" s="62">
        <v>487</v>
      </c>
    </row>
    <row r="18" spans="1:13" s="187" customFormat="1" ht="13.15">
      <c r="B18" s="186"/>
      <c r="C18" s="168" t="str">
        <f t="shared" si="8"/>
        <v>12/31/16</v>
      </c>
      <c r="E18" s="109">
        <f t="shared" si="9"/>
        <v>8241935</v>
      </c>
      <c r="F18" s="111"/>
      <c r="G18" s="109">
        <f t="shared" si="10"/>
        <v>13431548</v>
      </c>
      <c r="H18" s="186"/>
      <c r="I18" s="10">
        <f t="shared" si="11"/>
        <v>1.63</v>
      </c>
      <c r="K18" s="182">
        <f>IF(K21=0.3,0.15,0)</f>
        <v>0.15</v>
      </c>
      <c r="M18" s="62">
        <v>505</v>
      </c>
    </row>
    <row r="19" spans="1:13" ht="13.15">
      <c r="B19" s="2"/>
      <c r="C19" s="168" t="str">
        <f t="shared" si="4"/>
        <v>12/31/17</v>
      </c>
      <c r="D19" s="8">
        <f>YEAR(C19)</f>
        <v>2017</v>
      </c>
      <c r="E19" s="109">
        <f>I141</f>
        <v>8710176</v>
      </c>
      <c r="F19" s="111"/>
      <c r="G19" s="109">
        <f>I89</f>
        <v>13430937</v>
      </c>
      <c r="H19" s="2"/>
      <c r="I19" s="10">
        <f t="shared" si="7"/>
        <v>1.542</v>
      </c>
      <c r="J19" s="2"/>
      <c r="K19" s="182">
        <f>IF(K21=0.7,0,0.2)</f>
        <v>0.2</v>
      </c>
      <c r="L19" s="2"/>
      <c r="M19" s="62">
        <v>470</v>
      </c>
    </row>
    <row r="20" spans="1:13" ht="13.15">
      <c r="A20" s="2"/>
      <c r="B20" s="2"/>
      <c r="C20" s="168" t="str">
        <f>TEXT(DATE(YEAR(C21)-1,MONTH(C21),DAY(C21)),"mm/dd/yy")</f>
        <v>12/31/18</v>
      </c>
      <c r="D20" s="8">
        <f>YEAR(C20)</f>
        <v>2018</v>
      </c>
      <c r="E20" s="109">
        <f>I142</f>
        <v>8306793</v>
      </c>
      <c r="F20" s="111"/>
      <c r="G20" s="109">
        <f>I90</f>
        <v>9387767</v>
      </c>
      <c r="H20" s="2"/>
      <c r="I20" s="10">
        <f t="shared" si="7"/>
        <v>1.1299999999999999</v>
      </c>
      <c r="J20" s="2"/>
      <c r="K20" s="182">
        <f>IF(K21=0.7,0.3,IF(K21=0.5,0.3,0.25))</f>
        <v>0.25</v>
      </c>
      <c r="L20" s="2"/>
      <c r="M20" s="62">
        <v>409</v>
      </c>
    </row>
    <row r="21" spans="1:13" ht="13.15">
      <c r="A21" s="2"/>
      <c r="B21" s="2"/>
      <c r="C21" s="168" t="str">
        <f>TEXT(DZ_FACTORS!$C$3,"mm/dd/yy")</f>
        <v>12/31/19</v>
      </c>
      <c r="D21" s="8">
        <f>YEAR(C21)</f>
        <v>2019</v>
      </c>
      <c r="E21" s="109">
        <f>I143</f>
        <v>7114444</v>
      </c>
      <c r="F21" s="111"/>
      <c r="G21" s="109">
        <f>I91</f>
        <v>9693394</v>
      </c>
      <c r="H21" s="2"/>
      <c r="I21" s="10">
        <f t="shared" si="7"/>
        <v>1.3620000000000001</v>
      </c>
      <c r="J21" s="2"/>
      <c r="K21" s="182">
        <f>IF(AVERAGE(M21,M20)&gt;DZ_FACTORS!$E$16,0.7,IF(AVERAGE(M19:M21)&gt;DZ_FACTORS!$F$16,0.5,0.3))</f>
        <v>0.3</v>
      </c>
      <c r="L21" s="2"/>
      <c r="M21" s="62">
        <v>338</v>
      </c>
    </row>
    <row r="22" spans="1:13" ht="13.15">
      <c r="A22" s="2"/>
      <c r="B22" s="2"/>
      <c r="C22" s="7"/>
      <c r="D22" s="2"/>
      <c r="E22" s="27"/>
      <c r="F22" s="2"/>
      <c r="G22" s="9"/>
      <c r="H22" s="2"/>
      <c r="I22" s="10"/>
      <c r="J22" s="2"/>
      <c r="K22" s="26"/>
      <c r="L22" s="2"/>
      <c r="M22" s="27"/>
    </row>
    <row r="23" spans="1:13" ht="13.15">
      <c r="A23" s="2"/>
      <c r="B23" s="2"/>
      <c r="C23" s="11"/>
      <c r="D23" s="2"/>
      <c r="E23" s="2"/>
      <c r="F23" s="2"/>
      <c r="G23" s="2"/>
      <c r="H23" s="2"/>
      <c r="I23" s="2"/>
      <c r="J23" s="2"/>
      <c r="K23" s="2" t="s">
        <v>60</v>
      </c>
      <c r="L23" s="2"/>
      <c r="M23" s="2" t="s">
        <v>61</v>
      </c>
    </row>
    <row r="24" spans="1:13" ht="13.15">
      <c r="A24" s="4" t="s">
        <v>12</v>
      </c>
      <c r="B24" s="2" t="s">
        <v>297</v>
      </c>
      <c r="C24" s="2"/>
      <c r="D24" s="2"/>
      <c r="E24" s="2"/>
      <c r="F24" s="2"/>
      <c r="G24" s="2"/>
      <c r="H24" s="2"/>
      <c r="I24" s="2"/>
      <c r="J24" s="2"/>
      <c r="K24" s="12">
        <f>ROUND((ROUND(I9*K9,3)+ROUND(I10*K10,3)+ROUND(I11*K11,3)+ROUND(I12*K12,3)+ROUND(I13*K13,3)),3)</f>
        <v>1.302</v>
      </c>
      <c r="L24" s="2"/>
      <c r="M24" s="12">
        <f>ROUND((ROUND(I15*K15,3)+ROUND(I16*K16,3)+ROUND(I19*K19,3)+ROUND(I20*K20,3)+ROUND(I21*K21,3)),3)</f>
        <v>1.385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13</v>
      </c>
      <c r="B26" s="2" t="s">
        <v>114</v>
      </c>
      <c r="C26" s="2"/>
      <c r="D26" s="2"/>
      <c r="E26" s="2"/>
      <c r="F26" s="2"/>
      <c r="G26" s="2"/>
      <c r="H26" s="2"/>
      <c r="I26" s="2"/>
      <c r="J26" s="2"/>
      <c r="K26" s="17">
        <f>ROUND(((ROUND((1+G84)/(1+G136),3))^DZ_FACTORS!C6),3)</f>
        <v>1.2270000000000001</v>
      </c>
      <c r="L26" s="2"/>
      <c r="M26" s="17">
        <f>ROUND(((ROUND((1+I84)/(1+I136),3))^DZ_FACTORS!C6),3)</f>
        <v>1.117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14</v>
      </c>
      <c r="B28" s="2" t="s">
        <v>115</v>
      </c>
      <c r="C28" s="2"/>
      <c r="D28" s="2"/>
      <c r="E28" s="2"/>
      <c r="F28" s="2"/>
      <c r="G28" s="2"/>
      <c r="H28" s="2"/>
      <c r="I28" s="2"/>
      <c r="J28" s="2"/>
      <c r="K28" s="174">
        <f>MIN(IF(SUM(M9:M13)&gt;0,MAX(FLOOR((SUMIF(K9:K13,"&gt;0",M9:M13)/DZ_FACTORS!$E$15)^0.5,0.05),0.05),0),1)</f>
        <v>0.30000000000000004</v>
      </c>
      <c r="L28" s="175"/>
      <c r="M28" s="174">
        <f>MIN(IF(SUM(M17:M21)&gt;0,MAX(FLOOR((SUMIF(K17:K21,"&gt;0",M17:M21)/DZ_FACTORS!$E$16)^0.5,0.05),0.05),0),1)</f>
        <v>0.70000000000000007</v>
      </c>
    </row>
    <row r="29" spans="1:13" ht="13.1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 t="s">
        <v>15</v>
      </c>
      <c r="B30" s="2" t="s">
        <v>16</v>
      </c>
      <c r="C30" s="2"/>
      <c r="D30" s="2"/>
      <c r="E30" s="2"/>
      <c r="F30" s="2"/>
      <c r="G30" s="2"/>
      <c r="H30" s="2"/>
      <c r="I30" s="2"/>
      <c r="J30" s="2"/>
      <c r="K30" s="12">
        <f>ROUND((K24*K28)+(K26*(1-K28)),3)</f>
        <v>1.25</v>
      </c>
      <c r="L30" s="2"/>
      <c r="M30" s="12">
        <f>ROUND((M24*M28)+(M26*(1-M28)),3)</f>
        <v>1.3049999999999999</v>
      </c>
    </row>
    <row r="31" spans="1:13" ht="13.15">
      <c r="A31" s="4"/>
      <c r="B31" s="2" t="s">
        <v>116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 t="s">
        <v>17</v>
      </c>
      <c r="B33" s="2" t="s">
        <v>18</v>
      </c>
      <c r="C33" s="2"/>
      <c r="D33" s="2"/>
      <c r="E33" s="2"/>
      <c r="F33" s="2"/>
      <c r="G33" s="2"/>
      <c r="H33" s="2"/>
      <c r="I33" s="2"/>
      <c r="J33" s="2"/>
      <c r="K33" s="14">
        <f>(K30-1)</f>
        <v>0.25</v>
      </c>
      <c r="L33" s="2"/>
      <c r="M33" s="14">
        <f>(M30-1)</f>
        <v>0.30499999999999994</v>
      </c>
    </row>
    <row r="34" spans="1:13" ht="13.15">
      <c r="A34" s="4"/>
      <c r="B34" s="2" t="s">
        <v>117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1"/>
      <c r="L35" s="2"/>
      <c r="M35" s="2"/>
    </row>
    <row r="36" spans="1:13" ht="13.15">
      <c r="A36" s="4" t="s">
        <v>19</v>
      </c>
      <c r="B36" s="2" t="s">
        <v>118</v>
      </c>
      <c r="C36" s="2"/>
      <c r="D36" s="2"/>
      <c r="E36" s="2"/>
      <c r="F36" s="2"/>
      <c r="G36" s="2"/>
      <c r="H36" s="2"/>
      <c r="I36" s="2"/>
      <c r="J36" s="2"/>
      <c r="K36" s="64">
        <v>0.25</v>
      </c>
      <c r="L36" s="60"/>
      <c r="M36" s="64">
        <v>0.30499999999999999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186" t="s">
        <v>349</v>
      </c>
      <c r="C38" s="186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186" t="s">
        <v>350</v>
      </c>
      <c r="C39" s="186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 t="s">
        <v>21</v>
      </c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62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122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 t="s">
        <v>23</v>
      </c>
      <c r="B45" s="2" t="s">
        <v>63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 t="s">
        <v>25</v>
      </c>
      <c r="B48" s="2" t="s">
        <v>241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3.15">
      <c r="A49" s="2"/>
      <c r="B49" s="2" t="s">
        <v>64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3.15">
      <c r="A50" s="2"/>
      <c r="B50" s="2" t="s">
        <v>65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3.15">
      <c r="A51" s="2"/>
      <c r="B51" s="2" t="s">
        <v>29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3.15">
      <c r="A52" s="2"/>
      <c r="B52" s="120" t="str">
        <f>TEXT(DZ_FACTORS!$C$4,"mm/dd/yy")&amp;" WHICH IS ASSUMED FOR THE PURPOSES OF TRENDING, SUBJECT TO A"</f>
        <v>04/01/22 WHICH IS ASSUMED FOR THE PURPOSES OF TRENDING, SUBJECT TO A</v>
      </c>
      <c r="C52" s="120"/>
      <c r="D52" s="63"/>
      <c r="E52" s="2"/>
      <c r="F52" s="2"/>
      <c r="G52" s="2"/>
      <c r="H52" s="2"/>
      <c r="I52" s="2"/>
      <c r="J52" s="2"/>
      <c r="K52" s="2"/>
      <c r="L52" s="2"/>
      <c r="M52" s="2"/>
    </row>
    <row r="53" spans="1:13" ht="13.15">
      <c r="A53" s="2"/>
      <c r="B53" s="2" t="s">
        <v>111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3.15">
      <c r="A54" s="2"/>
      <c r="B54" s="2" t="str">
        <f>"PAGE, FOOTNOTE B. IN THIS REVISION, THE PERIOD M IS "&amp;TEXT(DZ_FACTORS!$C$6,"0.00")&amp;" YEAR(S)."</f>
        <v>PAGE, FOOTNOTE B. IN THIS REVISION, THE PERIOD M IS 3.75 YEAR(S).</v>
      </c>
      <c r="C54" s="2"/>
      <c r="D54" s="2"/>
      <c r="E54" s="2"/>
      <c r="F54" s="2"/>
      <c r="G54" s="2"/>
      <c r="H54" s="2"/>
      <c r="I54" s="59"/>
      <c r="J54" s="59"/>
      <c r="K54" s="59"/>
      <c r="L54" s="59"/>
      <c r="M54" s="2"/>
    </row>
    <row r="55" spans="1:13" ht="13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3.15">
      <c r="A56" s="4" t="s">
        <v>30</v>
      </c>
      <c r="B56" s="2" t="str">
        <f>"CREDIBILITY IS BASED ON A "&amp;TEXT(DZ_FACTORS!$C$15,"0")&amp;"  YEAR TOTAL OF CLAIMS FOR O.T.C. AND A"</f>
        <v>CREDIBILITY IS BASED ON A 5  YEAR TOTAL OF CLAIMS FOR O.T.C. AND A</v>
      </c>
      <c r="C56" s="2"/>
      <c r="D56" s="2"/>
      <c r="E56" s="2"/>
      <c r="F56" s="114"/>
      <c r="G56" s="2"/>
      <c r="H56" s="2"/>
      <c r="I56" s="2"/>
      <c r="J56" s="2"/>
      <c r="K56" s="2"/>
      <c r="L56" s="2"/>
      <c r="M56" s="2"/>
    </row>
    <row r="57" spans="1:13" ht="13.15">
      <c r="A57" s="2"/>
      <c r="B57" s="153" t="str">
        <f>TEXT(DZ_FACTORS!$C$16,"0")&amp;" YEAR TOTAL OF CLAIMS FOR COLLISION SHOWN IN COLUMN (5)."</f>
        <v>5 YEAR TOTAL OF CLAIMS FOR COLLISION SHOWN IN COLUMN (5).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3.15">
      <c r="A58" s="2"/>
      <c r="B58" s="2" t="str">
        <f>"THE STANDARDS FOR FULL CREDIBILITY ARE "&amp;TEXT(DZ_FACTORS!$E$15,"#,0")&amp;" CLAIMS FOR O.T.C."</f>
        <v>THE STANDARDS FOR FULL CREDIBILITY ARE 11,000 CLAIMS FOR O.T.C.</v>
      </c>
      <c r="C58" s="2"/>
      <c r="D58" s="2"/>
      <c r="E58" s="2"/>
      <c r="F58" s="2"/>
      <c r="G58" s="118"/>
      <c r="H58" s="2"/>
      <c r="I58" s="2"/>
      <c r="J58" s="2"/>
      <c r="K58" s="2"/>
      <c r="L58" s="2"/>
      <c r="M58" s="2"/>
    </row>
    <row r="59" spans="1:13" ht="13.15">
      <c r="A59" s="2"/>
      <c r="B59" s="2" t="str">
        <f>"AND "&amp;TEXT(DZ_FACTORS!$E$16,"#,0")&amp;" CLAIMS FOR COLLISION (SEE CREDIBILITY TABLES IN SECTION C)."</f>
        <v>AND 4,500 CLAIMS FOR COLLISION (SEE CREDIBILITY TABLES IN SECTION C).</v>
      </c>
      <c r="C59" s="118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3.15">
      <c r="A60" s="2"/>
      <c r="B60" s="2"/>
      <c r="C60" s="118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3.15">
      <c r="A61" s="2"/>
      <c r="B61" s="2"/>
      <c r="C61" s="118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3.5">
      <c r="A62" s="28" t="s">
        <v>0</v>
      </c>
      <c r="B62" s="1"/>
      <c r="C62" s="1"/>
      <c r="D62" s="1"/>
      <c r="E62" s="29"/>
      <c r="F62" s="2"/>
      <c r="G62" s="2"/>
      <c r="H62" s="2"/>
      <c r="I62" s="2"/>
      <c r="J62" s="2"/>
      <c r="K62" s="2"/>
      <c r="L62" s="2"/>
      <c r="M62" s="2"/>
    </row>
    <row r="63" spans="1:13" ht="13.5">
      <c r="A63" s="28"/>
      <c r="B63" s="1"/>
      <c r="C63" s="1"/>
      <c r="D63" s="1"/>
      <c r="E63" s="29"/>
      <c r="F63" s="2"/>
      <c r="G63" s="2"/>
      <c r="H63" s="2"/>
      <c r="I63" s="2"/>
      <c r="J63" s="2"/>
      <c r="K63" s="2"/>
      <c r="L63" s="2"/>
      <c r="M63" s="2"/>
    </row>
    <row r="64" spans="1:13" ht="13.15">
      <c r="A64" s="268" t="s">
        <v>159</v>
      </c>
      <c r="B64" s="265"/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33"/>
    </row>
    <row r="65" spans="1:13" ht="13.15">
      <c r="A65" s="268" t="s">
        <v>342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33"/>
    </row>
    <row r="66" spans="1:13" ht="13.15">
      <c r="A66" s="268" t="s">
        <v>82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33"/>
    </row>
    <row r="67" spans="1:13" ht="13.15">
      <c r="A67" s="268" t="s">
        <v>66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33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3"/>
    </row>
    <row r="69" spans="1:13" ht="26.25">
      <c r="A69" s="4"/>
      <c r="B69" s="2"/>
      <c r="C69" s="2"/>
      <c r="D69" s="2"/>
      <c r="E69" s="6" t="s">
        <v>31</v>
      </c>
      <c r="F69" s="21"/>
      <c r="G69" s="6" t="s">
        <v>67</v>
      </c>
      <c r="H69" s="21"/>
      <c r="I69" s="6" t="s">
        <v>61</v>
      </c>
      <c r="J69" s="21"/>
      <c r="K69" s="2"/>
      <c r="L69" s="2"/>
      <c r="M69" s="2"/>
    </row>
    <row r="70" spans="1:13" ht="13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3.15">
      <c r="A71" s="4"/>
      <c r="B71" s="4" t="s">
        <v>1</v>
      </c>
      <c r="C71" s="2" t="s">
        <v>68</v>
      </c>
      <c r="D71" s="2"/>
      <c r="E71" s="7" t="str">
        <f>C9</f>
        <v>12/31/15</v>
      </c>
      <c r="G71" s="164">
        <v>2315368</v>
      </c>
      <c r="H71" s="169"/>
      <c r="I71" s="169">
        <v>7074365</v>
      </c>
      <c r="J71" s="2"/>
      <c r="K71" s="2"/>
      <c r="L71" s="2"/>
      <c r="M71" s="30"/>
    </row>
    <row r="72" spans="1:13" ht="13.15">
      <c r="A72" s="4"/>
      <c r="B72" s="4"/>
      <c r="C72" s="2"/>
      <c r="D72" s="2"/>
      <c r="E72" s="7" t="str">
        <f>C10</f>
        <v>12/31/16</v>
      </c>
      <c r="G72" s="164">
        <v>2593053</v>
      </c>
      <c r="H72" s="169"/>
      <c r="I72" s="169">
        <v>8839691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C11</f>
        <v>12/31/17</v>
      </c>
      <c r="F73" s="2"/>
      <c r="G73" s="164">
        <v>2682462</v>
      </c>
      <c r="H73" s="169"/>
      <c r="I73" s="169">
        <v>9274466</v>
      </c>
      <c r="J73" s="2"/>
      <c r="K73" s="2"/>
      <c r="L73" s="2"/>
      <c r="M73" s="2"/>
    </row>
    <row r="74" spans="1:13" ht="13.15">
      <c r="A74" s="4"/>
      <c r="B74" s="4"/>
      <c r="C74" s="2"/>
      <c r="D74" s="2"/>
      <c r="E74" s="7" t="str">
        <f>C12</f>
        <v>12/31/18</v>
      </c>
      <c r="F74" s="2"/>
      <c r="G74" s="164">
        <v>2271696</v>
      </c>
      <c r="H74" s="169"/>
      <c r="I74" s="169">
        <v>6785339</v>
      </c>
      <c r="J74" s="2"/>
      <c r="K74" s="2"/>
      <c r="L74" s="2"/>
      <c r="M74" s="2"/>
    </row>
    <row r="75" spans="1:13" ht="13.15">
      <c r="A75" s="4"/>
      <c r="B75" s="4"/>
      <c r="C75" s="2"/>
      <c r="D75" s="2"/>
      <c r="E75" s="7" t="str">
        <f>C13</f>
        <v>12/31/19</v>
      </c>
      <c r="F75" s="2"/>
      <c r="G75" s="164">
        <v>1491294</v>
      </c>
      <c r="H75" s="169"/>
      <c r="I75" s="169">
        <v>7364218</v>
      </c>
      <c r="J75" s="2"/>
      <c r="K75" s="2"/>
      <c r="L75" s="2"/>
      <c r="M75" s="2"/>
    </row>
    <row r="76" spans="1:13" ht="13.15">
      <c r="A76" s="2"/>
      <c r="B76" s="4"/>
      <c r="C76" s="2"/>
      <c r="D76" s="2"/>
      <c r="E76" s="2"/>
      <c r="F76" s="2"/>
      <c r="G76" s="170"/>
      <c r="H76" s="170"/>
      <c r="I76" s="170"/>
      <c r="J76" s="2"/>
      <c r="K76" s="2"/>
      <c r="L76" s="2"/>
      <c r="M76" s="2"/>
    </row>
    <row r="77" spans="1:13" ht="13.15">
      <c r="A77" s="2"/>
      <c r="B77" s="4" t="s">
        <v>2</v>
      </c>
      <c r="C77" s="2" t="s">
        <v>38</v>
      </c>
      <c r="D77" s="2"/>
      <c r="E77" s="7" t="str">
        <f>C9</f>
        <v>12/31/15</v>
      </c>
      <c r="F77" s="2"/>
      <c r="G77" s="170">
        <f>IF(K9=0,"---",ROUND(G71*$G$96*G99,0))</f>
        <v>2613749</v>
      </c>
      <c r="H77" s="170"/>
      <c r="I77" s="170">
        <f>IF(K15=0,"----",ROUND(I71*$I$96*I99,0))</f>
        <v>7994032</v>
      </c>
      <c r="J77" s="2"/>
      <c r="K77" s="2"/>
      <c r="L77" s="2"/>
      <c r="M77" s="2"/>
    </row>
    <row r="78" spans="1:13" ht="13.15">
      <c r="A78" s="2"/>
      <c r="B78" s="4"/>
      <c r="C78" s="2" t="s">
        <v>39</v>
      </c>
      <c r="D78" s="2"/>
      <c r="E78" s="7" t="str">
        <f>C10</f>
        <v>12/31/16</v>
      </c>
      <c r="F78" s="2"/>
      <c r="G78" s="170">
        <f>IF(K10=0,"---",ROUND(G72*$G$96*G100,0))</f>
        <v>2927220</v>
      </c>
      <c r="H78" s="170"/>
      <c r="I78" s="170">
        <f>IF(K16=0,"----",ROUND(I72*$I$96*I100,0))</f>
        <v>9978862</v>
      </c>
      <c r="J78" s="2"/>
      <c r="K78" s="2"/>
      <c r="L78" s="2"/>
      <c r="M78" s="2"/>
    </row>
    <row r="79" spans="1:13" ht="13.15">
      <c r="A79" s="2"/>
      <c r="B79" s="4"/>
      <c r="C79" s="2" t="s">
        <v>40</v>
      </c>
      <c r="D79" s="2"/>
      <c r="E79" s="7" t="str">
        <f>C11</f>
        <v>12/31/17</v>
      </c>
      <c r="F79" s="2"/>
      <c r="G79" s="170">
        <f>IF(K11=0,"---",ROUND(G73*$G$96*G101,0))</f>
        <v>3028151</v>
      </c>
      <c r="H79" s="170"/>
      <c r="I79" s="170">
        <f>IF(K19=0,"----",ROUND(I73*$I$96*I101,0))</f>
        <v>10427746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7" t="str">
        <f>C12</f>
        <v>12/31/18</v>
      </c>
      <c r="F80" s="2"/>
      <c r="G80" s="170">
        <f>IF(K12=0,"---",ROUND(G74*$G$96*G102,0))</f>
        <v>2579852</v>
      </c>
      <c r="H80" s="170"/>
      <c r="I80" s="170">
        <f>IF(K20=0,"----",ROUND(I74*$I$96*I102,0))</f>
        <v>7613761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C13</f>
        <v>12/31/19</v>
      </c>
      <c r="F81" s="2"/>
      <c r="G81" s="170">
        <f>IF(K13=0,"---",ROUND(G75*$G$96*G103,0))</f>
        <v>1814920</v>
      </c>
      <c r="H81" s="170"/>
      <c r="I81" s="170">
        <f>IF(K21=0,"----",ROUND(I75*$I$96*I103,0))</f>
        <v>8221708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 t="s">
        <v>3</v>
      </c>
      <c r="C83" s="2" t="s">
        <v>41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 t="s">
        <v>42</v>
      </c>
      <c r="D84" s="2"/>
      <c r="E84" s="2"/>
      <c r="F84" s="2"/>
      <c r="G84" s="74">
        <f>'EXHIBIT C6'!X32</f>
        <v>6.5000000000000002E-2</v>
      </c>
      <c r="H84" s="75"/>
      <c r="I84" s="74">
        <f>'EXHIBIT C7'!X32</f>
        <v>4.4999999999999998E-2</v>
      </c>
      <c r="J84" s="2"/>
      <c r="K84" s="2"/>
      <c r="L84" s="2"/>
      <c r="M84" s="2"/>
    </row>
    <row r="85" spans="1:13" ht="13.15">
      <c r="A85" s="2"/>
      <c r="B85" s="4"/>
      <c r="C85" s="2" t="s">
        <v>43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 t="s">
        <v>4</v>
      </c>
      <c r="C87" s="2" t="s">
        <v>44</v>
      </c>
      <c r="D87" s="2"/>
      <c r="E87" s="7" t="str">
        <f>C9</f>
        <v>12/31/15</v>
      </c>
      <c r="F87" s="2"/>
      <c r="G87" s="170">
        <f>IF(K9=0,"----",ROUND(G77*ROUND(((1+$G$84)^G111),3),0))</f>
        <v>4257797</v>
      </c>
      <c r="H87" s="170"/>
      <c r="I87" s="170">
        <f>IF(K15=0,"----",ROUND(I77*ROUND(((1+$I$84)^I111),3),0))</f>
        <v>11247603</v>
      </c>
      <c r="J87" s="2"/>
      <c r="K87" s="2"/>
      <c r="L87" s="2"/>
      <c r="M87" s="2"/>
    </row>
    <row r="88" spans="1:13" ht="13.15">
      <c r="A88" s="2"/>
      <c r="B88" s="2"/>
      <c r="C88" s="2" t="s">
        <v>39</v>
      </c>
      <c r="D88" s="2"/>
      <c r="E88" s="7" t="str">
        <f>C10</f>
        <v>12/31/16</v>
      </c>
      <c r="F88" s="2"/>
      <c r="G88" s="170">
        <f>IF(K10=0,"----",ROUND(G78*ROUND(((1+$G$84)^G112),3),0))</f>
        <v>4478647</v>
      </c>
      <c r="H88" s="170"/>
      <c r="I88" s="170">
        <f>IF(K16=0,"----",ROUND(I78*ROUND(((1+$I$84)^I112),3),0))</f>
        <v>13431548</v>
      </c>
      <c r="J88" s="2"/>
      <c r="K88" s="2"/>
      <c r="L88" s="2"/>
      <c r="M88" s="2"/>
    </row>
    <row r="89" spans="1:13" ht="13.15">
      <c r="A89" s="2"/>
      <c r="B89" s="2"/>
      <c r="C89" s="2" t="s">
        <v>45</v>
      </c>
      <c r="D89" s="2"/>
      <c r="E89" s="7" t="str">
        <f>C11</f>
        <v>12/31/17</v>
      </c>
      <c r="F89" s="2"/>
      <c r="G89" s="170">
        <f>IF(K11=0,"----",ROUND(G79*ROUND(((1+$G$84)^G113),3),0))</f>
        <v>4348425</v>
      </c>
      <c r="H89" s="170"/>
      <c r="I89" s="170">
        <f>IF(K19=0,"----",ROUND(I79*ROUND(((1+$I$84)^I113),3),0))</f>
        <v>13430937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C12</f>
        <v>12/31/18</v>
      </c>
      <c r="F90" s="2"/>
      <c r="G90" s="170">
        <f>IF(K12=0,"----",ROUND(G80*ROUND(((1+$G$84)^G114),3),0))</f>
        <v>3480220</v>
      </c>
      <c r="H90" s="170"/>
      <c r="I90" s="170">
        <f>IF(K20=0,"----",ROUND(I80*ROUND(((1+$I$84)^I114),3),0))</f>
        <v>9387767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C13</f>
        <v>12/31/19</v>
      </c>
      <c r="F91" s="2"/>
      <c r="G91" s="170">
        <f>IF(K13=0,"----",ROUND(G81*ROUND(((1+$G$84)^G115),3),0))</f>
        <v>2297689</v>
      </c>
      <c r="H91" s="170"/>
      <c r="I91" s="170">
        <f>IF(K21=0,"----",ROUND(I81*ROUND(((1+$I$84)^I115),3),0))</f>
        <v>9693394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1" t="s">
        <v>20</v>
      </c>
      <c r="C93" s="2" t="s">
        <v>69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"/>
      <c r="C94" s="2" t="s">
        <v>70</v>
      </c>
      <c r="D94" s="2"/>
      <c r="E94" s="2"/>
      <c r="F94" s="2"/>
      <c r="G94" s="2"/>
      <c r="H94" s="2"/>
      <c r="I94" s="31"/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2" t="s">
        <v>67</v>
      </c>
      <c r="H95" s="2"/>
      <c r="I95" s="2" t="s">
        <v>59</v>
      </c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94">
        <f>'EXHIBIT C1'!$S$22</f>
        <v>1.1299999999999999</v>
      </c>
      <c r="H96" s="75"/>
      <c r="I96" s="94">
        <f>'EXHIBIT C1'!$S$22</f>
        <v>1.1299999999999999</v>
      </c>
      <c r="J96" s="2"/>
      <c r="K96" s="2"/>
      <c r="L96" s="2"/>
      <c r="M96" s="2"/>
    </row>
    <row r="97" spans="1:13" ht="13.15">
      <c r="A97" s="2"/>
      <c r="B97" s="2"/>
      <c r="C97" s="2" t="s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3.15">
      <c r="A98" s="2"/>
      <c r="B98" s="2"/>
      <c r="C98" s="2"/>
      <c r="D98" s="2"/>
      <c r="E98" s="6" t="s">
        <v>52</v>
      </c>
      <c r="F98" s="2"/>
      <c r="G98" s="21" t="s">
        <v>60</v>
      </c>
      <c r="H98" s="2"/>
      <c r="I98" s="21" t="s">
        <v>59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C9</f>
        <v>12/31/15</v>
      </c>
      <c r="G99" s="171">
        <f>IF(K9=0,"-----",'EXHIBIT C10'!F44)</f>
        <v>0.999</v>
      </c>
      <c r="H99" s="172"/>
      <c r="I99" s="171">
        <f>IF(K15=0,"-----",'EXHIBIT C10'!F132)</f>
        <v>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C10</f>
        <v>12/31/16</v>
      </c>
      <c r="G100" s="171">
        <f>IF(K10=0,"-----",'EXHIBIT C10'!F45)</f>
        <v>0.999</v>
      </c>
      <c r="H100" s="172"/>
      <c r="I100" s="171">
        <f>IF(K16=0,"-----",'EXHIBIT C10'!F133)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C11</f>
        <v>12/31/17</v>
      </c>
      <c r="F101" s="2"/>
      <c r="G101" s="171">
        <f>IF(K11=0,"-----",'EXHIBIT C10'!F46)</f>
        <v>0.999</v>
      </c>
      <c r="H101" s="172"/>
      <c r="I101" s="171">
        <f>IF(K19=0,"-----",'EXHIBIT C10'!F134)</f>
        <v>0.995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C12</f>
        <v>12/31/18</v>
      </c>
      <c r="F102" s="2"/>
      <c r="G102" s="171">
        <f>IF(K12=0,"-----",'EXHIBIT C10'!F47)</f>
        <v>1.0049999999999999</v>
      </c>
      <c r="H102" s="172"/>
      <c r="I102" s="171">
        <f>IF(K20=0,"-----",'EXHIBIT C10'!F135)</f>
        <v>0.99299999999999999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C13</f>
        <v>12/31/19</v>
      </c>
      <c r="F103" s="2"/>
      <c r="G103" s="171">
        <f>IF(K13=0,"-----",'EXHIBIT C10'!F48)</f>
        <v>1.077</v>
      </c>
      <c r="H103" s="172"/>
      <c r="I103" s="171">
        <f>IF(K21=0,"-----",'EXHIBIT C10'!F136)</f>
        <v>0.98799999999999999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 t="s">
        <v>21</v>
      </c>
      <c r="C105" s="2" t="s">
        <v>124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">
        <v>126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tr">
        <f>"BEYOND THE ANTICIPATED IMPLEMENTATION DATE OF "&amp;TEXT(DZ_FACTORS!$C$4,"mm/dd/yy")&amp;" WHICH IS"</f>
        <v>BEYOND THE ANTICIPATED IMPLEMENTATION DATE OF 04/01/22 WHICH IS</v>
      </c>
      <c r="D107" s="2"/>
      <c r="E107" s="2"/>
      <c r="F107" s="2"/>
      <c r="G107" s="2"/>
      <c r="H107" s="2"/>
      <c r="I107" s="16"/>
      <c r="J107" s="2"/>
      <c r="K107" s="2"/>
      <c r="L107" s="2"/>
      <c r="M107" s="2"/>
    </row>
    <row r="108" spans="1:13" ht="13.15">
      <c r="A108" s="2"/>
      <c r="B108" s="2"/>
      <c r="C108" s="2" t="s">
        <v>127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3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26.25">
      <c r="A110" s="2"/>
      <c r="B110" s="2"/>
      <c r="C110" s="6" t="s">
        <v>52</v>
      </c>
      <c r="D110" s="2"/>
      <c r="E110" s="6" t="s">
        <v>55</v>
      </c>
      <c r="F110" s="2"/>
      <c r="G110" s="6" t="s">
        <v>71</v>
      </c>
      <c r="H110" s="2"/>
      <c r="I110" s="6" t="s">
        <v>72</v>
      </c>
      <c r="J110" s="2"/>
      <c r="K110" s="2"/>
      <c r="L110" s="2"/>
      <c r="M110" s="2"/>
    </row>
    <row r="111" spans="1:13" ht="13.15">
      <c r="A111" s="2"/>
      <c r="B111" s="2"/>
      <c r="C111" s="7" t="str">
        <f>C9</f>
        <v>12/31/15</v>
      </c>
      <c r="E111" s="7">
        <f t="shared" ref="E111:E112" si="12">DATE(YEAR(C111),MONTH(C111)-5,DAY(1))</f>
        <v>42186</v>
      </c>
      <c r="F111" s="2"/>
      <c r="G111" s="171">
        <f>IF(K9=0,"-----",G112+1)</f>
        <v>7.75</v>
      </c>
      <c r="H111" s="121"/>
      <c r="I111" s="171">
        <f>IF(K15=0,"-----",I112+1)</f>
        <v>7.75</v>
      </c>
      <c r="J111" s="2"/>
      <c r="K111" s="2"/>
      <c r="L111" s="2"/>
      <c r="M111" s="2"/>
    </row>
    <row r="112" spans="1:13" ht="13.15">
      <c r="A112" s="2"/>
      <c r="B112" s="2"/>
      <c r="C112" s="7" t="str">
        <f>C10</f>
        <v>12/31/16</v>
      </c>
      <c r="E112" s="7">
        <f t="shared" si="12"/>
        <v>42552</v>
      </c>
      <c r="F112" s="2"/>
      <c r="G112" s="171">
        <f>IF(K10=0,"-----",G113+1)</f>
        <v>6.75</v>
      </c>
      <c r="H112" s="121"/>
      <c r="I112" s="171">
        <f>IF(K16=0,"-----",I113+1)</f>
        <v>6.75</v>
      </c>
      <c r="J112" s="2"/>
      <c r="K112" s="2"/>
      <c r="L112" s="2"/>
      <c r="M112" s="2"/>
    </row>
    <row r="113" spans="1:13" ht="13.15">
      <c r="A113" s="2"/>
      <c r="B113" s="2"/>
      <c r="C113" s="7" t="str">
        <f>C11</f>
        <v>12/31/17</v>
      </c>
      <c r="D113" s="2"/>
      <c r="E113" s="7">
        <f>DATE(YEAR(C113),MONTH(C113)-5,DAY(1))</f>
        <v>42917</v>
      </c>
      <c r="F113" s="2"/>
      <c r="G113" s="171">
        <f>IF(K11=0,"-----",G114+1)</f>
        <v>5.75</v>
      </c>
      <c r="H113" s="121"/>
      <c r="I113" s="171">
        <f>IF(K19=0,"-----",I114+1)</f>
        <v>5.75</v>
      </c>
      <c r="J113" s="2"/>
      <c r="K113" s="2"/>
      <c r="L113" s="2"/>
      <c r="M113" s="2"/>
    </row>
    <row r="114" spans="1:13" ht="13.15">
      <c r="A114" s="2"/>
      <c r="B114" s="2"/>
      <c r="C114" s="7" t="str">
        <f>C12</f>
        <v>12/31/18</v>
      </c>
      <c r="D114" s="2"/>
      <c r="E114" s="7">
        <f>DATE(YEAR(C114),MONTH(C114)-5,DAY(1))</f>
        <v>43282</v>
      </c>
      <c r="F114" s="2"/>
      <c r="G114" s="171">
        <f>IF(K12=0,"-----",G115+1)</f>
        <v>4.75</v>
      </c>
      <c r="H114" s="121"/>
      <c r="I114" s="171">
        <f>IF(K20=0,"-----",I115+1)</f>
        <v>4.75</v>
      </c>
      <c r="J114" s="2"/>
      <c r="K114" s="2"/>
      <c r="L114" s="2"/>
      <c r="M114" s="2"/>
    </row>
    <row r="115" spans="1:13" ht="13.15">
      <c r="A115" s="2"/>
      <c r="B115" s="2"/>
      <c r="C115" s="7" t="str">
        <f>C13</f>
        <v>12/31/19</v>
      </c>
      <c r="D115" s="2"/>
      <c r="E115" s="7">
        <f>DATE(YEAR(C115),MONTH(C115)-5,DAY(1))</f>
        <v>43647</v>
      </c>
      <c r="F115" s="2"/>
      <c r="G115" s="171">
        <f>DZ_FACTORS!$C$9</f>
        <v>3.75</v>
      </c>
      <c r="H115" s="121"/>
      <c r="I115" s="171">
        <f>DZ_FACTORS!$C$9</f>
        <v>3.75</v>
      </c>
      <c r="J115" s="2"/>
      <c r="K115" s="2"/>
      <c r="L115" s="2"/>
      <c r="M115" s="2"/>
    </row>
    <row r="116" spans="1:13" ht="13.15">
      <c r="A116" s="2"/>
      <c r="B116" s="2"/>
      <c r="C116" s="7"/>
      <c r="D116" s="2"/>
      <c r="E116" s="7"/>
      <c r="F116" s="2"/>
      <c r="G116" s="25"/>
      <c r="H116" s="2"/>
      <c r="I116" s="25"/>
      <c r="J116" s="2"/>
      <c r="K116" s="2"/>
      <c r="L116" s="2"/>
      <c r="M116" s="2"/>
    </row>
    <row r="117" spans="1:13" ht="13.15">
      <c r="A117" s="2"/>
      <c r="B117" s="2"/>
      <c r="C117" s="7"/>
      <c r="D117" s="2"/>
      <c r="E117" s="7"/>
      <c r="F117" s="2"/>
      <c r="G117" s="25"/>
      <c r="H117" s="2"/>
      <c r="I117" s="25"/>
      <c r="J117" s="2"/>
      <c r="K117" s="2"/>
      <c r="L117" s="2"/>
      <c r="M117" s="2"/>
    </row>
    <row r="118" spans="1:13" ht="13.5">
      <c r="A118" s="1" t="s">
        <v>0</v>
      </c>
      <c r="B118" s="2"/>
      <c r="C118" s="2"/>
      <c r="D118" s="1"/>
      <c r="E118" s="1"/>
      <c r="F118" s="1"/>
      <c r="G118" s="29"/>
      <c r="H118" s="2"/>
      <c r="I118" s="2"/>
      <c r="J118" s="2"/>
      <c r="K118" s="2"/>
      <c r="L118" s="2"/>
      <c r="M118" s="2"/>
    </row>
    <row r="119" spans="1:13" ht="13.5">
      <c r="A119" s="1"/>
      <c r="B119" s="2"/>
      <c r="C119" s="2"/>
      <c r="D119" s="1"/>
      <c r="E119" s="1"/>
      <c r="F119" s="1"/>
      <c r="G119" s="29"/>
      <c r="H119" s="2"/>
      <c r="I119" s="2"/>
      <c r="J119" s="2"/>
      <c r="K119" s="2"/>
      <c r="L119" s="2"/>
      <c r="M119" s="2"/>
    </row>
    <row r="120" spans="1:13" ht="13.15">
      <c r="A120" s="266" t="s">
        <v>159</v>
      </c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</row>
    <row r="121" spans="1:13" ht="13.15">
      <c r="A121" s="266" t="s">
        <v>79</v>
      </c>
      <c r="B121" s="265"/>
      <c r="C121" s="265"/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</row>
    <row r="122" spans="1:13" ht="13.15">
      <c r="A122" s="266" t="s">
        <v>82</v>
      </c>
      <c r="B122" s="265"/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</row>
    <row r="123" spans="1:13" ht="13.15">
      <c r="A123" s="266" t="s">
        <v>87</v>
      </c>
      <c r="B123" s="265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</row>
    <row r="124" spans="1:13" ht="13.15">
      <c r="A124" s="266" t="s">
        <v>73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</row>
    <row r="125" spans="1:13" ht="13.15">
      <c r="A125" s="267"/>
      <c r="B125" s="249"/>
      <c r="C125" s="249"/>
      <c r="D125" s="249"/>
      <c r="E125" s="249"/>
      <c r="F125" s="249"/>
      <c r="G125" s="249"/>
      <c r="H125" s="249"/>
      <c r="I125" s="249"/>
      <c r="J125" s="249"/>
      <c r="K125" s="249"/>
      <c r="L125" s="249"/>
      <c r="M125" s="249"/>
    </row>
    <row r="126" spans="1:13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26.25">
      <c r="A127" s="2"/>
      <c r="B127" s="2"/>
      <c r="C127" s="2"/>
      <c r="D127" s="2"/>
      <c r="E127" s="6" t="s">
        <v>31</v>
      </c>
      <c r="F127" s="21"/>
      <c r="G127" s="6" t="s">
        <v>67</v>
      </c>
      <c r="H127" s="21"/>
      <c r="I127" s="6" t="s">
        <v>61</v>
      </c>
      <c r="J127" s="21"/>
      <c r="K127" s="2"/>
      <c r="L127" s="2"/>
      <c r="M127" s="2"/>
    </row>
    <row r="128" spans="1:13" ht="13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3.15">
      <c r="A129" s="2"/>
      <c r="B129" s="4" t="s">
        <v>1</v>
      </c>
      <c r="C129" s="2" t="s">
        <v>73</v>
      </c>
      <c r="D129" s="2"/>
      <c r="E129" s="7" t="str">
        <f>C9</f>
        <v>12/31/15</v>
      </c>
      <c r="F129" s="2"/>
      <c r="G129" s="164">
        <v>2552879.1699999846</v>
      </c>
      <c r="H129" s="169"/>
      <c r="I129" s="165">
        <v>7164150.8500000499</v>
      </c>
      <c r="J129" s="2"/>
      <c r="K129" s="2"/>
      <c r="L129" s="2"/>
      <c r="M129" s="9"/>
    </row>
    <row r="130" spans="1:13" ht="13.15">
      <c r="A130" s="2"/>
      <c r="B130" s="4"/>
      <c r="C130" s="2" t="s">
        <v>74</v>
      </c>
      <c r="D130" s="2"/>
      <c r="E130" s="7" t="str">
        <f>C10</f>
        <v>12/31/16</v>
      </c>
      <c r="F130" s="2"/>
      <c r="G130" s="164">
        <v>2680772.6200000164</v>
      </c>
      <c r="H130" s="169"/>
      <c r="I130" s="165">
        <v>7452021.0899999822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C11</f>
        <v>12/31/17</v>
      </c>
      <c r="F131" s="2"/>
      <c r="G131" s="164">
        <v>2824540.0600000117</v>
      </c>
      <c r="H131" s="169"/>
      <c r="I131" s="165">
        <v>7998324.9300000053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C12</f>
        <v>12/31/18</v>
      </c>
      <c r="F132" s="2"/>
      <c r="G132" s="164">
        <v>2581501.3599999957</v>
      </c>
      <c r="H132" s="169"/>
      <c r="I132" s="165">
        <v>7741652.2300000144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C13</f>
        <v>12/31/19</v>
      </c>
      <c r="F133" s="2"/>
      <c r="G133" s="164">
        <v>2260104.5499999956</v>
      </c>
      <c r="H133" s="169"/>
      <c r="I133" s="165">
        <v>6730788.6899999976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32"/>
      <c r="B135" s="4" t="s">
        <v>2</v>
      </c>
      <c r="C135" s="2" t="s">
        <v>75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 t="s">
        <v>42</v>
      </c>
      <c r="D136" s="2"/>
      <c r="E136" s="2"/>
      <c r="F136" s="2"/>
      <c r="G136" s="74">
        <f>'EXHIBIT C8'!D29</f>
        <v>8.9999999999999993E-3</v>
      </c>
      <c r="H136" s="75"/>
      <c r="I136" s="74">
        <f>'EXHIBIT C8'!D31</f>
        <v>1.4999999999999999E-2</v>
      </c>
      <c r="J136" s="2"/>
      <c r="K136" s="2"/>
      <c r="L136" s="2"/>
      <c r="M136" s="2"/>
    </row>
    <row r="137" spans="1:13" ht="13.15">
      <c r="A137" s="2"/>
      <c r="B137" s="4"/>
      <c r="C137" s="2" t="s">
        <v>43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 t="s">
        <v>3</v>
      </c>
      <c r="C139" s="2" t="s">
        <v>84</v>
      </c>
      <c r="D139" s="2"/>
      <c r="E139" s="7" t="str">
        <f>C9</f>
        <v>12/31/15</v>
      </c>
      <c r="G139" s="170">
        <f>IF(K9=0,"----",ROUND(G129*ROUND((1+$G$136)^G152,3),0))</f>
        <v>2736686</v>
      </c>
      <c r="H139" s="170"/>
      <c r="I139" s="170">
        <f>IF(K15=0,"----",ROUND(I129*ROUND((1+$I$136)^I152,3),0))</f>
        <v>8038177</v>
      </c>
      <c r="J139" s="2"/>
      <c r="K139" s="2"/>
      <c r="L139" s="2"/>
      <c r="M139" s="2"/>
    </row>
    <row r="140" spans="1:13" ht="13.15">
      <c r="A140" s="2"/>
      <c r="B140" s="2"/>
      <c r="C140" s="2" t="s">
        <v>85</v>
      </c>
      <c r="D140" s="2"/>
      <c r="E140" s="7" t="str">
        <f>C10</f>
        <v>12/31/16</v>
      </c>
      <c r="G140" s="170">
        <f>IF(K10=0,"----",ROUND(G130*ROUND((1+$G$136)^G153,3),0))</f>
        <v>2846981</v>
      </c>
      <c r="H140" s="170"/>
      <c r="I140" s="170">
        <f>IF(K16=0,"----",ROUND(I130*ROUND((1+$I$136)^I153,3),0))</f>
        <v>8241935</v>
      </c>
      <c r="J140" s="2"/>
      <c r="K140" s="2"/>
      <c r="L140" s="2"/>
      <c r="M140" s="2"/>
    </row>
    <row r="141" spans="1:13" ht="13.15">
      <c r="A141" s="2"/>
      <c r="B141" s="2"/>
      <c r="C141" s="2" t="s">
        <v>86</v>
      </c>
      <c r="D141" s="2"/>
      <c r="E141" s="7" t="str">
        <f>C11</f>
        <v>12/31/17</v>
      </c>
      <c r="F141" s="2"/>
      <c r="G141" s="170">
        <f>IF(K11=0,"----",ROUND(G131*ROUND((1+$G$136)^G154,3),0))</f>
        <v>2974241</v>
      </c>
      <c r="H141" s="170"/>
      <c r="I141" s="170">
        <f>IF(K19=0,"----",ROUND(I131*ROUND((1+$I$136)^I154,3),0))</f>
        <v>8710176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C12</f>
        <v>12/31/18</v>
      </c>
      <c r="F142" s="2"/>
      <c r="G142" s="170">
        <f>IF(K12=0,"----",ROUND(G132*ROUND((1+$G$136)^G155,3),0))</f>
        <v>2692506</v>
      </c>
      <c r="H142" s="170"/>
      <c r="I142" s="170">
        <f>IF(K20=0,"----",ROUND(I132*ROUND((1+$I$136)^I155,3),0))</f>
        <v>8306793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C13</f>
        <v>12/31/19</v>
      </c>
      <c r="F143" s="2"/>
      <c r="G143" s="170">
        <f>IF(K13=0,"----",ROUND(G133*ROUND((1+$G$136)^G156,3),0))</f>
        <v>2336948</v>
      </c>
      <c r="H143" s="170"/>
      <c r="I143" s="170">
        <f>IF(K21=0,"----",ROUND(I133*ROUND((1+$I$136)^I156,3),0))</f>
        <v>7114444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 t="s">
        <v>20</v>
      </c>
      <c r="C145" s="2" t="s">
        <v>125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76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128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120" t="str">
        <f>TEXT(DZ_FACTORS!$C$4,"mm/dd/yy")&amp;" WHICH IS ASSUMED FOR THE PURPOSE OF TRENDING BOTH OTC"</f>
        <v>04/01/22 WHICH IS ASSUMED FOR THE PURPOSE OF TRENDING BOTH OTC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 t="s">
        <v>129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26.25">
      <c r="A151" s="2"/>
      <c r="B151" s="2"/>
      <c r="C151" s="6" t="s">
        <v>52</v>
      </c>
      <c r="D151" s="2"/>
      <c r="E151" s="6" t="s">
        <v>77</v>
      </c>
      <c r="F151" s="2"/>
      <c r="G151" s="6" t="s">
        <v>71</v>
      </c>
      <c r="H151" s="2"/>
      <c r="I151" s="6" t="s">
        <v>72</v>
      </c>
      <c r="J151" s="2"/>
      <c r="K151" s="2"/>
      <c r="L151" s="2"/>
      <c r="M151" s="2"/>
    </row>
    <row r="152" spans="1:13" ht="13.15">
      <c r="A152" s="2"/>
      <c r="B152" s="2"/>
      <c r="C152" s="7" t="str">
        <f>C9</f>
        <v>12/31/15</v>
      </c>
      <c r="E152" s="7">
        <f t="shared" ref="E152:E153" si="13">DATE(YEAR(C152),MONTH(C152)-11,DAY(1))</f>
        <v>42005</v>
      </c>
      <c r="G152" s="171">
        <f>IF(K9=0,"-----",G153+1)</f>
        <v>7.75</v>
      </c>
      <c r="H152" s="121"/>
      <c r="I152" s="171">
        <f>IF(K15=0,"-----",I153+1)</f>
        <v>7.75</v>
      </c>
      <c r="J152" s="2"/>
      <c r="K152" s="2"/>
      <c r="L152" s="2"/>
      <c r="M152" s="2"/>
    </row>
    <row r="153" spans="1:13" ht="13.15">
      <c r="A153" s="2"/>
      <c r="B153" s="2"/>
      <c r="C153" s="7" t="str">
        <f>C10</f>
        <v>12/31/16</v>
      </c>
      <c r="E153" s="7">
        <f t="shared" si="13"/>
        <v>42370</v>
      </c>
      <c r="G153" s="171">
        <f>IF(K10=0,"-----",G154+1)</f>
        <v>6.75</v>
      </c>
      <c r="H153" s="121"/>
      <c r="I153" s="171">
        <f>IF(K16=0,"-----",I154+1)</f>
        <v>6.75</v>
      </c>
      <c r="J153" s="2"/>
      <c r="K153" s="2"/>
      <c r="L153" s="2"/>
      <c r="M153" s="2"/>
    </row>
    <row r="154" spans="1:13" ht="13.15">
      <c r="A154" s="2"/>
      <c r="B154" s="2"/>
      <c r="C154" s="7" t="str">
        <f>C11</f>
        <v>12/31/17</v>
      </c>
      <c r="D154" s="2"/>
      <c r="E154" s="7">
        <f>DATE(YEAR(C154),MONTH(C154)-11,DAY(1))</f>
        <v>42736</v>
      </c>
      <c r="F154" s="2"/>
      <c r="G154" s="171">
        <f>IF(K11=0,"-----",G155+1)</f>
        <v>5.75</v>
      </c>
      <c r="H154" s="121"/>
      <c r="I154" s="171">
        <f>IF(K19=0,"-----",I155+1)</f>
        <v>5.75</v>
      </c>
      <c r="J154" s="2"/>
      <c r="K154" s="2"/>
      <c r="L154" s="2"/>
      <c r="M154" s="2"/>
    </row>
    <row r="155" spans="1:13" ht="13.15">
      <c r="A155" s="2"/>
      <c r="B155" s="2"/>
      <c r="C155" s="7" t="str">
        <f>C12</f>
        <v>12/31/18</v>
      </c>
      <c r="D155" s="2"/>
      <c r="E155" s="7">
        <f>DATE(YEAR(C155),MONTH(C155)-11,DAY(1))</f>
        <v>43101</v>
      </c>
      <c r="F155" s="2"/>
      <c r="G155" s="171">
        <f>IF(K12=0,"-----",G156+1)</f>
        <v>4.75</v>
      </c>
      <c r="H155" s="121"/>
      <c r="I155" s="171">
        <f>IF(K20=0,"-----",I156+1)</f>
        <v>4.75</v>
      </c>
      <c r="J155" s="2"/>
      <c r="K155" s="2"/>
      <c r="L155" s="2"/>
      <c r="M155" s="2"/>
    </row>
    <row r="156" spans="1:13" ht="13.15">
      <c r="A156" s="2"/>
      <c r="B156" s="2"/>
      <c r="C156" s="7" t="str">
        <f>C13</f>
        <v>12/31/19</v>
      </c>
      <c r="D156" s="2"/>
      <c r="E156" s="7">
        <f>DATE(YEAR(C156),MONTH(C156)-11,DAY(1))</f>
        <v>43466</v>
      </c>
      <c r="F156" s="2"/>
      <c r="G156" s="171">
        <f>DZ_FACTORS!$C$9</f>
        <v>3.75</v>
      </c>
      <c r="H156" s="121"/>
      <c r="I156" s="171">
        <f>DZ_FACTORS!$C$9</f>
        <v>3.75</v>
      </c>
      <c r="J156" s="2"/>
      <c r="K156" s="2"/>
      <c r="L156" s="2"/>
      <c r="M156" s="2"/>
    </row>
  </sheetData>
  <mergeCells count="13">
    <mergeCell ref="A125:M125"/>
    <mergeCell ref="A3:M3"/>
    <mergeCell ref="A4:M4"/>
    <mergeCell ref="A5:M5"/>
    <mergeCell ref="A64:L64"/>
    <mergeCell ref="A65:L65"/>
    <mergeCell ref="A66:L66"/>
    <mergeCell ref="A120:M120"/>
    <mergeCell ref="A67:L67"/>
    <mergeCell ref="A121:M121"/>
    <mergeCell ref="A124:M124"/>
    <mergeCell ref="A122:M122"/>
    <mergeCell ref="A123:M123"/>
  </mergeCells>
  <conditionalFormatting sqref="C9:M9 C15:M15 E71:I71 E77:I77 E87:I87 E99:I99 C111:I111 E129:I129 E139:I139 C152:I152">
    <cfRule type="expression" dxfId="18" priority="27">
      <formula>AND($K$9=0,$K$15=0)</formula>
    </cfRule>
  </conditionalFormatting>
  <conditionalFormatting sqref="C10:M10 C16:M16 E72:I72 E78:I78 E88:I88 E100:I100 C112:I112 E130:I130 E140:I140 C153:I153 D17:D18 L17:M18 J17:J18">
    <cfRule type="expression" dxfId="17" priority="26">
      <formula>AND($K$10=0,$K$16=0)</formula>
    </cfRule>
  </conditionalFormatting>
  <conditionalFormatting sqref="C11:M11 C19:M19 E73:I73 E79:I79 E89:I89 E101:I101 C113:I113 E131:I131 E141:I141 C154:I154">
    <cfRule type="expression" dxfId="16" priority="25">
      <formula>AND($K$11=0,$K$19=0)</formula>
    </cfRule>
  </conditionalFormatting>
  <conditionalFormatting sqref="C15:M15">
    <cfRule type="expression" dxfId="15" priority="18">
      <formula>$K$15=0</formula>
    </cfRule>
  </conditionalFormatting>
  <conditionalFormatting sqref="C16:M16 D17:D18 L17:M18 J17:J18">
    <cfRule type="expression" dxfId="14" priority="17">
      <formula>$K$16=0</formula>
    </cfRule>
  </conditionalFormatting>
  <conditionalFormatting sqref="C19:M19">
    <cfRule type="expression" dxfId="13" priority="16">
      <formula>$K$19=0</formula>
    </cfRule>
  </conditionalFormatting>
  <conditionalFormatting sqref="C9:M9">
    <cfRule type="expression" dxfId="12" priority="15">
      <formula>$K$9=0</formula>
    </cfRule>
  </conditionalFormatting>
  <conditionalFormatting sqref="C10:M10">
    <cfRule type="expression" dxfId="11" priority="14">
      <formula>$K$10=0</formula>
    </cfRule>
  </conditionalFormatting>
  <conditionalFormatting sqref="C11:M11">
    <cfRule type="expression" dxfId="10" priority="13">
      <formula>$K$11=0</formula>
    </cfRule>
  </conditionalFormatting>
  <conditionalFormatting sqref="C17">
    <cfRule type="expression" dxfId="9" priority="12">
      <formula>AND($K$9=0,$K$15=0)</formula>
    </cfRule>
  </conditionalFormatting>
  <conditionalFormatting sqref="C18">
    <cfRule type="expression" dxfId="8" priority="11">
      <formula>AND($K$10=0,$K$16=0)</formula>
    </cfRule>
  </conditionalFormatting>
  <conditionalFormatting sqref="C17">
    <cfRule type="expression" dxfId="7" priority="10">
      <formula>$K$9=0</formula>
    </cfRule>
  </conditionalFormatting>
  <conditionalFormatting sqref="C18">
    <cfRule type="expression" dxfId="6" priority="9">
      <formula>$K$10=0</formula>
    </cfRule>
  </conditionalFormatting>
  <conditionalFormatting sqref="E17:I18">
    <cfRule type="expression" dxfId="5" priority="2">
      <formula>AND($K$11=0,$K$19=0)</formula>
    </cfRule>
  </conditionalFormatting>
  <conditionalFormatting sqref="E17:I18">
    <cfRule type="expression" dxfId="4" priority="1">
      <formula>$K$19=0</formula>
    </cfRule>
  </conditionalFormatting>
  <conditionalFormatting sqref="K17">
    <cfRule type="expression" dxfId="3" priority="6">
      <formula>AND($K$9=0,$K$15=0)</formula>
    </cfRule>
  </conditionalFormatting>
  <conditionalFormatting sqref="K18">
    <cfRule type="expression" dxfId="2" priority="5">
      <formula>AND($K$10=0,$K$16=0)</formula>
    </cfRule>
  </conditionalFormatting>
  <conditionalFormatting sqref="K17">
    <cfRule type="expression" dxfId="1" priority="4">
      <formula>$K$9=0</formula>
    </cfRule>
  </conditionalFormatting>
  <conditionalFormatting sqref="K18">
    <cfRule type="expression" dxfId="0" priority="3">
      <formula>$K$10=0</formula>
    </cfRule>
  </conditionalFormatting>
  <pageMargins left="0.7" right="0.7" top="0.75" bottom="0.75" header="0.3" footer="0.3"/>
  <pageSetup scale="79" fitToWidth="0" fitToHeight="0" orientation="portrait" useFirstPageNumber="1" r:id="rId1"/>
  <headerFooter>
    <oddHeader>&amp;R&amp;"Times New Roman,Regular"Page &amp;P of &amp;N</oddHeader>
    <oddFooter>&amp;L&amp;"Times New Roman,Regular"© Insurance Services Office, Inc., 2021&amp;C&amp;"Times New Roman,Regular"Maine CA-2021-RZRLC&amp;R&amp;"Times New Roman,Regular"&amp;A</oddFooter>
  </headerFooter>
  <rowBreaks count="2" manualBreakCount="2">
    <brk id="61" max="12" man="1"/>
    <brk id="11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33"/>
  <dimension ref="A1:S48"/>
  <sheetViews>
    <sheetView zoomScaleNormal="100" zoomScaleSheetLayoutView="8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68" t="s">
        <v>0</v>
      </c>
      <c r="B1" s="68"/>
      <c r="C1" s="68"/>
      <c r="D1" s="68"/>
      <c r="E1" s="68"/>
      <c r="F1" s="68"/>
      <c r="G1" s="68"/>
      <c r="H1" s="68"/>
      <c r="I1" s="68"/>
      <c r="K1" s="68" t="s">
        <v>0</v>
      </c>
      <c r="L1" s="68"/>
      <c r="M1" s="68"/>
      <c r="N1" s="68"/>
      <c r="O1" s="68"/>
      <c r="P1" s="68"/>
      <c r="Q1" s="68"/>
      <c r="R1" s="68"/>
      <c r="S1" s="68"/>
    </row>
    <row r="2" spans="1:19" ht="13.9">
      <c r="A2" s="68"/>
      <c r="B2" s="68"/>
      <c r="C2" s="68"/>
      <c r="D2" s="68"/>
      <c r="E2" s="68"/>
      <c r="F2" s="68"/>
      <c r="G2" s="68"/>
      <c r="H2" s="68"/>
      <c r="I2" s="68"/>
      <c r="K2" s="68"/>
      <c r="L2" s="68"/>
      <c r="M2" s="68"/>
      <c r="N2" s="68"/>
      <c r="O2" s="68"/>
      <c r="P2" s="68"/>
      <c r="Q2" s="68"/>
      <c r="R2" s="68"/>
      <c r="S2" s="68"/>
    </row>
    <row r="3" spans="1:19" ht="13.9">
      <c r="A3" s="250" t="s">
        <v>299</v>
      </c>
      <c r="B3" s="250"/>
      <c r="C3" s="250"/>
      <c r="D3" s="250"/>
      <c r="E3" s="250"/>
      <c r="F3" s="250"/>
      <c r="G3" s="250"/>
      <c r="H3" s="250"/>
      <c r="I3" s="250"/>
      <c r="K3" s="250" t="s">
        <v>318</v>
      </c>
      <c r="L3" s="250"/>
      <c r="M3" s="250"/>
      <c r="N3" s="250"/>
      <c r="O3" s="250"/>
      <c r="P3" s="250"/>
      <c r="Q3" s="250"/>
      <c r="R3" s="250"/>
      <c r="S3" s="250"/>
    </row>
    <row r="4" spans="1:19" ht="13.9">
      <c r="A4" s="250" t="s">
        <v>300</v>
      </c>
      <c r="B4" s="250"/>
      <c r="C4" s="250"/>
      <c r="D4" s="250"/>
      <c r="E4" s="250"/>
      <c r="F4" s="250"/>
      <c r="G4" s="250"/>
      <c r="H4" s="250"/>
      <c r="I4" s="250"/>
      <c r="K4" s="250" t="s">
        <v>300</v>
      </c>
      <c r="L4" s="250"/>
      <c r="M4" s="250"/>
      <c r="N4" s="250"/>
      <c r="O4" s="250"/>
      <c r="P4" s="250"/>
      <c r="Q4" s="250"/>
      <c r="R4" s="250"/>
      <c r="S4" s="250"/>
    </row>
    <row r="5" spans="1:19" ht="13.9">
      <c r="A5" s="68"/>
      <c r="B5" s="68"/>
      <c r="C5" s="68"/>
      <c r="D5" s="68"/>
      <c r="E5" s="68"/>
      <c r="F5" s="68"/>
      <c r="G5" s="68"/>
      <c r="H5" s="68"/>
      <c r="I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3.9">
      <c r="A6" s="250" t="s">
        <v>301</v>
      </c>
      <c r="B6" s="250"/>
      <c r="C6" s="250"/>
      <c r="D6" s="250"/>
      <c r="E6" s="250"/>
      <c r="F6" s="250"/>
      <c r="G6" s="250"/>
      <c r="H6" s="250"/>
      <c r="I6" s="250"/>
      <c r="K6" s="250" t="s">
        <v>301</v>
      </c>
      <c r="L6" s="250"/>
      <c r="M6" s="250"/>
      <c r="N6" s="250"/>
      <c r="O6" s="250"/>
      <c r="P6" s="250"/>
      <c r="Q6" s="250"/>
      <c r="R6" s="250"/>
      <c r="S6" s="250"/>
    </row>
    <row r="7" spans="1:19" ht="13.9">
      <c r="A7" s="68"/>
      <c r="B7" s="68"/>
      <c r="C7" s="68"/>
      <c r="D7" s="68"/>
      <c r="E7" s="68"/>
      <c r="F7" s="68"/>
      <c r="G7" s="68"/>
      <c r="H7" s="68"/>
      <c r="I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3.9">
      <c r="A8" s="270" t="s">
        <v>302</v>
      </c>
      <c r="B8" s="270"/>
      <c r="C8" s="270"/>
      <c r="D8" s="270"/>
      <c r="E8" s="270"/>
      <c r="F8" s="270"/>
      <c r="G8" s="270"/>
      <c r="H8" s="270"/>
      <c r="I8" s="270"/>
      <c r="K8" s="270" t="s">
        <v>319</v>
      </c>
      <c r="L8" s="270"/>
      <c r="M8" s="270"/>
      <c r="N8" s="270"/>
      <c r="O8" s="270"/>
      <c r="P8" s="270"/>
      <c r="Q8" s="270"/>
      <c r="R8" s="270"/>
      <c r="S8" s="270"/>
    </row>
    <row r="9" spans="1:19" ht="13.9">
      <c r="A9" s="68"/>
      <c r="B9" s="68"/>
      <c r="C9" s="68"/>
      <c r="D9" s="68"/>
      <c r="E9" s="68"/>
      <c r="F9" s="68"/>
      <c r="G9" s="68"/>
      <c r="H9" s="68"/>
      <c r="I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3.9">
      <c r="A10" s="269" t="s">
        <v>171</v>
      </c>
      <c r="B10" s="269"/>
      <c r="C10" s="269"/>
      <c r="D10" s="269"/>
      <c r="E10" s="269"/>
      <c r="F10" s="269"/>
      <c r="G10" s="269"/>
      <c r="H10" s="269"/>
      <c r="I10" s="269"/>
      <c r="K10" s="160"/>
      <c r="L10" s="160"/>
      <c r="M10" s="160"/>
      <c r="N10" s="154" t="s">
        <v>303</v>
      </c>
      <c r="O10" s="160"/>
      <c r="P10" s="160"/>
      <c r="Q10" s="160"/>
      <c r="R10" s="160"/>
      <c r="S10" s="160"/>
    </row>
    <row r="11" spans="1:19" ht="13.9">
      <c r="A11" s="68"/>
      <c r="B11" s="68"/>
      <c r="C11" s="68"/>
      <c r="D11" s="154" t="s">
        <v>303</v>
      </c>
      <c r="E11" s="68"/>
      <c r="F11" s="68"/>
      <c r="G11" s="68"/>
      <c r="H11" s="68"/>
      <c r="I11" s="68"/>
      <c r="K11" s="68"/>
      <c r="L11" s="68"/>
      <c r="M11" s="68"/>
      <c r="N11" s="68"/>
      <c r="O11" s="68"/>
      <c r="P11" s="68"/>
      <c r="Q11" s="68"/>
      <c r="R11" s="154" t="s">
        <v>304</v>
      </c>
      <c r="S11" s="154" t="s">
        <v>305</v>
      </c>
    </row>
    <row r="12" spans="1:19" ht="13.9">
      <c r="A12" s="68"/>
      <c r="B12" s="68"/>
      <c r="C12" s="68"/>
      <c r="D12" s="68"/>
      <c r="E12" s="68"/>
      <c r="F12" s="68"/>
      <c r="G12" s="68"/>
      <c r="H12" s="154" t="s">
        <v>304</v>
      </c>
      <c r="I12" s="154" t="s">
        <v>305</v>
      </c>
      <c r="K12" s="155"/>
      <c r="L12" s="155" t="s">
        <v>306</v>
      </c>
      <c r="M12" s="173">
        <f t="shared" ref="M12:P12" si="0">C13</f>
        <v>2014</v>
      </c>
      <c r="N12" s="173">
        <f t="shared" si="0"/>
        <v>2015</v>
      </c>
      <c r="O12" s="173">
        <f t="shared" si="0"/>
        <v>2016</v>
      </c>
      <c r="P12" s="173">
        <f t="shared" si="0"/>
        <v>2017</v>
      </c>
      <c r="Q12" s="173">
        <f>G13</f>
        <v>2018</v>
      </c>
      <c r="R12" s="156" t="s">
        <v>307</v>
      </c>
      <c r="S12" s="156" t="s">
        <v>307</v>
      </c>
    </row>
    <row r="13" spans="1:19" ht="13.9">
      <c r="A13" s="155"/>
      <c r="B13" s="155" t="s">
        <v>306</v>
      </c>
      <c r="C13" s="173">
        <f t="shared" ref="C13:E13" si="1">D13-1</f>
        <v>2014</v>
      </c>
      <c r="D13" s="173">
        <f t="shared" si="1"/>
        <v>2015</v>
      </c>
      <c r="E13" s="173">
        <f t="shared" si="1"/>
        <v>2016</v>
      </c>
      <c r="F13" s="173">
        <f>G13-1</f>
        <v>2017</v>
      </c>
      <c r="G13" s="173">
        <v>2018</v>
      </c>
      <c r="H13" s="156" t="s">
        <v>307</v>
      </c>
      <c r="I13" s="156" t="s">
        <v>307</v>
      </c>
      <c r="K13" s="56" t="s">
        <v>1</v>
      </c>
      <c r="L13" s="68" t="s">
        <v>308</v>
      </c>
      <c r="M13" s="157">
        <v>4018641</v>
      </c>
      <c r="N13" s="157">
        <v>4299932</v>
      </c>
      <c r="O13" s="157">
        <v>4813793</v>
      </c>
      <c r="P13" s="157">
        <v>5446118</v>
      </c>
      <c r="Q13" s="157">
        <v>5531658</v>
      </c>
      <c r="R13" s="68"/>
      <c r="S13" s="68"/>
    </row>
    <row r="14" spans="1:19" ht="13.9">
      <c r="A14" s="56" t="s">
        <v>1</v>
      </c>
      <c r="B14" s="68" t="s">
        <v>308</v>
      </c>
      <c r="C14" s="157">
        <v>4534035</v>
      </c>
      <c r="D14" s="157">
        <v>5191223</v>
      </c>
      <c r="E14" s="157">
        <v>5663590</v>
      </c>
      <c r="F14" s="157">
        <v>6258279</v>
      </c>
      <c r="G14" s="157">
        <v>6443423</v>
      </c>
      <c r="H14" s="68"/>
      <c r="I14" s="68"/>
      <c r="K14" s="68"/>
      <c r="L14" s="68"/>
      <c r="M14" s="68"/>
      <c r="N14" s="68"/>
      <c r="O14" s="68"/>
      <c r="P14" s="68"/>
      <c r="Q14" s="68"/>
      <c r="R14" s="68"/>
      <c r="S14" s="68"/>
    </row>
    <row r="15" spans="1:19" ht="13.9">
      <c r="A15" s="68"/>
      <c r="B15" s="68"/>
      <c r="C15" s="68"/>
      <c r="D15" s="68"/>
      <c r="E15" s="68"/>
      <c r="F15" s="68"/>
      <c r="G15" s="68"/>
      <c r="H15" s="68"/>
      <c r="I15" s="68"/>
      <c r="K15" s="56" t="s">
        <v>2</v>
      </c>
      <c r="L15" s="68" t="s">
        <v>320</v>
      </c>
      <c r="M15" s="68"/>
      <c r="N15" s="68"/>
      <c r="O15" s="68"/>
      <c r="P15" s="68"/>
      <c r="Q15" s="68"/>
      <c r="R15" s="68"/>
      <c r="S15" s="68"/>
    </row>
    <row r="16" spans="1:19" ht="13.9">
      <c r="A16" s="56" t="s">
        <v>2</v>
      </c>
      <c r="B16" s="68" t="s">
        <v>309</v>
      </c>
      <c r="C16" s="68"/>
      <c r="D16" s="68"/>
      <c r="E16" s="68"/>
      <c r="F16" s="68"/>
      <c r="G16" s="68"/>
      <c r="H16" s="68"/>
      <c r="I16" s="68"/>
      <c r="K16" s="68"/>
      <c r="L16" s="68" t="s">
        <v>321</v>
      </c>
      <c r="M16" s="157">
        <v>658105</v>
      </c>
      <c r="N16" s="157">
        <v>579036</v>
      </c>
      <c r="O16" s="157">
        <v>622719</v>
      </c>
      <c r="P16" s="157">
        <v>702553</v>
      </c>
      <c r="Q16" s="157">
        <v>716345</v>
      </c>
      <c r="R16" s="68"/>
      <c r="S16" s="68"/>
    </row>
    <row r="17" spans="1:19" ht="13.9">
      <c r="A17" s="68"/>
      <c r="B17" s="68" t="s">
        <v>310</v>
      </c>
      <c r="C17" s="157">
        <v>480175</v>
      </c>
      <c r="D17" s="157">
        <v>580765</v>
      </c>
      <c r="E17" s="157">
        <v>638270</v>
      </c>
      <c r="F17" s="157">
        <v>676653</v>
      </c>
      <c r="G17" s="157">
        <v>650817</v>
      </c>
      <c r="H17" s="68"/>
      <c r="I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 ht="13.9">
      <c r="A18" s="68"/>
      <c r="B18" s="68"/>
      <c r="C18" s="68"/>
      <c r="D18" s="68"/>
      <c r="E18" s="68"/>
      <c r="F18" s="68"/>
      <c r="G18" s="68"/>
      <c r="H18" s="68"/>
      <c r="I18" s="68"/>
      <c r="K18" s="56" t="s">
        <v>3</v>
      </c>
      <c r="L18" s="68" t="s">
        <v>322</v>
      </c>
      <c r="M18" s="68"/>
      <c r="N18" s="68"/>
      <c r="O18" s="68"/>
      <c r="P18" s="68"/>
      <c r="Q18" s="68"/>
      <c r="R18" s="68"/>
      <c r="S18" s="68"/>
    </row>
    <row r="19" spans="1:19" ht="13.9">
      <c r="A19" s="56" t="s">
        <v>3</v>
      </c>
      <c r="B19" s="68" t="s">
        <v>311</v>
      </c>
      <c r="C19" s="68"/>
      <c r="D19" s="68"/>
      <c r="E19" s="68"/>
      <c r="F19" s="68"/>
      <c r="G19" s="68"/>
      <c r="H19" s="68"/>
      <c r="I19" s="68"/>
      <c r="K19" s="68"/>
      <c r="L19" s="68" t="s">
        <v>323</v>
      </c>
      <c r="M19" s="161">
        <f>ROUND((M13+M16)/M13,3)</f>
        <v>1.1639999999999999</v>
      </c>
      <c r="N19" s="161">
        <f t="shared" ref="N19:Q19" si="2">ROUND((N13+N16)/N13,3)</f>
        <v>1.135</v>
      </c>
      <c r="O19" s="161">
        <f t="shared" si="2"/>
        <v>1.129</v>
      </c>
      <c r="P19" s="161">
        <f t="shared" si="2"/>
        <v>1.129</v>
      </c>
      <c r="Q19" s="161">
        <f t="shared" si="2"/>
        <v>1.129</v>
      </c>
      <c r="R19" s="162">
        <f>ROUND(SUM((O13+O16)/O13,(P13+P16)/P13,(Q13+Q16)/Q13)/3,3)</f>
        <v>1.129</v>
      </c>
      <c r="S19" s="162">
        <f>ROUND(SUM((M13+M16)/M13,(N13+N16)/N13,(O13+O16)/O13,(P13+P16)/P13,(Q13+Q16)/Q13)/5,3)</f>
        <v>1.137</v>
      </c>
    </row>
    <row r="20" spans="1:19" ht="13.9">
      <c r="A20" s="68"/>
      <c r="B20" s="68" t="s">
        <v>312</v>
      </c>
      <c r="C20" s="157">
        <v>449751</v>
      </c>
      <c r="D20" s="157">
        <v>472235</v>
      </c>
      <c r="E20" s="157">
        <v>480388</v>
      </c>
      <c r="F20" s="157">
        <v>510398</v>
      </c>
      <c r="G20" s="157">
        <v>519189</v>
      </c>
      <c r="H20" s="68"/>
      <c r="I20" s="68"/>
      <c r="K20" s="68"/>
      <c r="L20" s="68" t="s">
        <v>324</v>
      </c>
      <c r="M20" s="68"/>
      <c r="N20" s="68"/>
      <c r="O20" s="68"/>
      <c r="P20" s="68"/>
      <c r="Q20" s="68"/>
      <c r="R20" s="68"/>
      <c r="S20" s="68"/>
    </row>
    <row r="21" spans="1:19" ht="13.9">
      <c r="A21" s="68"/>
      <c r="B21" s="68"/>
      <c r="C21" s="68"/>
      <c r="D21" s="68"/>
      <c r="E21" s="68"/>
      <c r="F21" s="68"/>
      <c r="G21" s="68"/>
      <c r="H21" s="68"/>
      <c r="I21" s="68"/>
      <c r="K21" s="56"/>
      <c r="L21" s="68"/>
      <c r="M21" s="68"/>
      <c r="N21" s="68"/>
      <c r="O21" s="68"/>
      <c r="P21" s="68"/>
      <c r="Q21" s="68"/>
      <c r="R21" s="68"/>
      <c r="S21" s="68"/>
    </row>
    <row r="22" spans="1:19" ht="13.9">
      <c r="A22" s="56" t="s">
        <v>4</v>
      </c>
      <c r="B22" s="68" t="s">
        <v>313</v>
      </c>
      <c r="C22" s="68"/>
      <c r="D22" s="68"/>
      <c r="E22" s="68"/>
      <c r="F22" s="68"/>
      <c r="G22" s="68"/>
      <c r="H22" s="68"/>
      <c r="I22" s="68"/>
      <c r="K22" s="56" t="s">
        <v>4</v>
      </c>
      <c r="L22" s="68" t="s">
        <v>325</v>
      </c>
      <c r="M22" s="68"/>
      <c r="N22" s="68"/>
      <c r="O22" s="68"/>
      <c r="P22" s="68"/>
      <c r="Q22" s="68"/>
      <c r="R22" s="68"/>
      <c r="S22" s="163">
        <v>1.1299999999999999</v>
      </c>
    </row>
    <row r="23" spans="1:19" ht="13.9">
      <c r="A23" s="68"/>
      <c r="B23" s="68" t="s">
        <v>314</v>
      </c>
      <c r="C23" s="68"/>
      <c r="D23" s="68"/>
      <c r="E23" s="68"/>
      <c r="F23" s="68"/>
      <c r="G23" s="68"/>
      <c r="H23" s="68"/>
      <c r="I23" s="68"/>
      <c r="K23" s="68"/>
      <c r="L23" s="68"/>
      <c r="M23" s="159"/>
      <c r="N23" s="159"/>
      <c r="O23" s="159"/>
      <c r="P23" s="159"/>
      <c r="Q23" s="159"/>
      <c r="R23" s="159"/>
      <c r="S23" s="159"/>
    </row>
    <row r="24" spans="1:19" ht="13.9">
      <c r="A24" s="68"/>
      <c r="B24" s="68" t="s">
        <v>315</v>
      </c>
      <c r="C24" s="158">
        <f>ROUND(C20/(C14+C17),3)</f>
        <v>0.09</v>
      </c>
      <c r="D24" s="158">
        <f>ROUND(D20/(D14+D17),3)</f>
        <v>8.2000000000000003E-2</v>
      </c>
      <c r="E24" s="158">
        <f>ROUND(E20/(E14+E17),3)</f>
        <v>7.5999999999999998E-2</v>
      </c>
      <c r="F24" s="158">
        <f>ROUND(F20/(F14+F17),3)</f>
        <v>7.3999999999999996E-2</v>
      </c>
      <c r="G24" s="158">
        <f>ROUND(G20/(G14+G17),3)</f>
        <v>7.2999999999999995E-2</v>
      </c>
      <c r="H24" s="158">
        <f>ROUND(SUM(E20/(E14+E17),F20/(F14+F17),G20/(G14+G17))/3,3)</f>
        <v>7.3999999999999996E-2</v>
      </c>
      <c r="I24" s="158">
        <f>ROUND(SUM(C20/(C14+C17),D20/(D14+D17),E20/(E14+E17),F20/(F14+F17),G20/(G14+G17))/5,3)</f>
        <v>7.9000000000000001E-2</v>
      </c>
      <c r="K24" s="68"/>
      <c r="L24" s="68"/>
      <c r="M24" s="68"/>
      <c r="N24" s="68"/>
      <c r="O24" s="68"/>
      <c r="P24" s="68"/>
      <c r="Q24" s="68"/>
      <c r="R24" s="68"/>
      <c r="S24" s="68"/>
    </row>
    <row r="25" spans="1:19" ht="13.9">
      <c r="A25" s="68"/>
      <c r="B25" s="68"/>
      <c r="C25" s="68"/>
      <c r="D25" s="68"/>
      <c r="E25" s="68"/>
      <c r="F25" s="68"/>
      <c r="G25" s="68"/>
      <c r="H25" s="68"/>
      <c r="I25" s="68"/>
      <c r="K25" s="56" t="s">
        <v>326</v>
      </c>
      <c r="L25" s="68"/>
      <c r="M25" s="68"/>
      <c r="N25" s="68"/>
      <c r="O25" s="68"/>
      <c r="P25" s="68"/>
      <c r="Q25" s="68"/>
      <c r="R25" s="68"/>
      <c r="S25" s="159"/>
    </row>
    <row r="26" spans="1:19" ht="13.9">
      <c r="A26" s="56" t="s">
        <v>5</v>
      </c>
      <c r="B26" s="68" t="s">
        <v>316</v>
      </c>
      <c r="C26" s="68"/>
      <c r="D26" s="68"/>
      <c r="E26" s="68"/>
      <c r="F26" s="68"/>
      <c r="G26" s="68"/>
      <c r="H26" s="68"/>
      <c r="I26" s="159">
        <v>7.4999999999999997E-2</v>
      </c>
    </row>
    <row r="27" spans="1:19" ht="13.9">
      <c r="A27" s="68"/>
      <c r="B27" s="68"/>
      <c r="C27" s="68"/>
      <c r="D27" s="68"/>
      <c r="E27" s="68"/>
      <c r="F27" s="68"/>
      <c r="G27" s="68"/>
      <c r="H27" s="68"/>
      <c r="I27" s="68"/>
    </row>
    <row r="28" spans="1:19" ht="13.9">
      <c r="A28" s="269" t="s">
        <v>179</v>
      </c>
      <c r="B28" s="269"/>
      <c r="C28" s="269"/>
      <c r="D28" s="269"/>
      <c r="E28" s="269"/>
      <c r="F28" s="269"/>
      <c r="G28" s="269"/>
      <c r="H28" s="269"/>
      <c r="I28" s="269"/>
    </row>
    <row r="29" spans="1:19" ht="13.9">
      <c r="A29" s="68"/>
      <c r="B29" s="68"/>
      <c r="C29" s="68"/>
      <c r="D29" s="154" t="s">
        <v>303</v>
      </c>
      <c r="E29" s="68"/>
      <c r="F29" s="68"/>
      <c r="G29" s="68"/>
      <c r="H29" s="68"/>
      <c r="I29" s="68"/>
    </row>
    <row r="30" spans="1:19" ht="13.9">
      <c r="A30" s="68"/>
      <c r="B30" s="68"/>
      <c r="C30" s="68"/>
      <c r="D30" s="68"/>
      <c r="E30" s="68"/>
      <c r="F30" s="68"/>
      <c r="G30" s="68"/>
      <c r="H30" s="154" t="s">
        <v>304</v>
      </c>
      <c r="I30" s="154" t="s">
        <v>305</v>
      </c>
    </row>
    <row r="31" spans="1:19" ht="13.9">
      <c r="A31" s="155"/>
      <c r="B31" s="155" t="s">
        <v>306</v>
      </c>
      <c r="C31" s="173">
        <f t="shared" ref="C31:F31" si="3">C13</f>
        <v>2014</v>
      </c>
      <c r="D31" s="173">
        <f t="shared" si="3"/>
        <v>2015</v>
      </c>
      <c r="E31" s="173">
        <f t="shared" si="3"/>
        <v>2016</v>
      </c>
      <c r="F31" s="173">
        <f t="shared" si="3"/>
        <v>2017</v>
      </c>
      <c r="G31" s="173">
        <f>G13</f>
        <v>2018</v>
      </c>
      <c r="H31" s="156" t="s">
        <v>307</v>
      </c>
      <c r="I31" s="156" t="s">
        <v>307</v>
      </c>
    </row>
    <row r="32" spans="1:19" ht="13.9">
      <c r="A32" s="56" t="s">
        <v>1</v>
      </c>
      <c r="B32" s="68" t="s">
        <v>308</v>
      </c>
      <c r="C32" s="157">
        <v>955051</v>
      </c>
      <c r="D32" s="157">
        <v>1027893</v>
      </c>
      <c r="E32" s="157">
        <v>1143065</v>
      </c>
      <c r="F32" s="157">
        <v>1144298</v>
      </c>
      <c r="G32" s="157">
        <v>1236531</v>
      </c>
      <c r="H32" s="68"/>
      <c r="I32" s="68"/>
    </row>
    <row r="33" spans="1:9" ht="13.9">
      <c r="A33" s="68"/>
      <c r="B33" s="68"/>
      <c r="C33" s="68"/>
      <c r="D33" s="68"/>
      <c r="E33" s="68"/>
      <c r="F33" s="68"/>
      <c r="G33" s="68"/>
      <c r="H33" s="68"/>
      <c r="I33" s="68"/>
    </row>
    <row r="34" spans="1:9" ht="13.9">
      <c r="A34" s="56" t="s">
        <v>2</v>
      </c>
      <c r="B34" s="68" t="s">
        <v>309</v>
      </c>
      <c r="C34" s="68"/>
      <c r="D34" s="68"/>
      <c r="E34" s="68"/>
      <c r="F34" s="68"/>
      <c r="G34" s="68"/>
      <c r="H34" s="68"/>
      <c r="I34" s="68"/>
    </row>
    <row r="35" spans="1:9" ht="13.9">
      <c r="A35" s="68"/>
      <c r="B35" s="68" t="s">
        <v>310</v>
      </c>
      <c r="C35" s="157">
        <v>63839</v>
      </c>
      <c r="D35" s="157">
        <v>74267</v>
      </c>
      <c r="E35" s="157">
        <v>61197</v>
      </c>
      <c r="F35" s="157">
        <v>65225</v>
      </c>
      <c r="G35" s="157">
        <v>63477</v>
      </c>
      <c r="H35" s="68"/>
      <c r="I35" s="68"/>
    </row>
    <row r="36" spans="1:9" ht="13.9">
      <c r="A36" s="68"/>
      <c r="B36" s="68"/>
      <c r="C36" s="68"/>
      <c r="D36" s="68"/>
      <c r="E36" s="68"/>
      <c r="F36" s="68"/>
      <c r="G36" s="68"/>
      <c r="H36" s="68"/>
      <c r="I36" s="68"/>
    </row>
    <row r="37" spans="1:9" ht="13.9">
      <c r="A37" s="56" t="s">
        <v>3</v>
      </c>
      <c r="B37" s="68" t="s">
        <v>311</v>
      </c>
      <c r="C37" s="68"/>
      <c r="D37" s="68"/>
      <c r="E37" s="68"/>
      <c r="F37" s="68"/>
      <c r="G37" s="68"/>
      <c r="H37" s="68"/>
      <c r="I37" s="68"/>
    </row>
    <row r="38" spans="1:9" ht="13.9">
      <c r="A38" s="68"/>
      <c r="B38" s="68" t="s">
        <v>312</v>
      </c>
      <c r="C38" s="157">
        <v>125980</v>
      </c>
      <c r="D38" s="157">
        <v>125216</v>
      </c>
      <c r="E38" s="157">
        <v>123301</v>
      </c>
      <c r="F38" s="157">
        <v>129471</v>
      </c>
      <c r="G38" s="157">
        <v>135429</v>
      </c>
      <c r="H38" s="68"/>
      <c r="I38" s="68"/>
    </row>
    <row r="39" spans="1:9" ht="13.9">
      <c r="A39" s="68"/>
      <c r="B39" s="68"/>
      <c r="C39" s="68"/>
      <c r="D39" s="68"/>
      <c r="E39" s="68"/>
      <c r="F39" s="68"/>
      <c r="G39" s="68"/>
      <c r="H39" s="68"/>
      <c r="I39" s="68"/>
    </row>
    <row r="40" spans="1:9" ht="13.9">
      <c r="A40" s="56" t="s">
        <v>4</v>
      </c>
      <c r="B40" s="68" t="s">
        <v>313</v>
      </c>
      <c r="C40" s="68"/>
      <c r="D40" s="68"/>
      <c r="E40" s="68"/>
      <c r="F40" s="68"/>
      <c r="G40" s="68"/>
      <c r="H40" s="68"/>
      <c r="I40" s="68"/>
    </row>
    <row r="41" spans="1:9" ht="13.9">
      <c r="A41" s="68"/>
      <c r="B41" s="68" t="s">
        <v>314</v>
      </c>
      <c r="C41" s="68"/>
      <c r="D41" s="68"/>
      <c r="E41" s="68"/>
      <c r="F41" s="68"/>
      <c r="G41" s="68"/>
      <c r="H41" s="68"/>
      <c r="I41" s="68"/>
    </row>
    <row r="42" spans="1:9" ht="13.9">
      <c r="A42" s="68"/>
      <c r="B42" s="68" t="s">
        <v>315</v>
      </c>
      <c r="C42" s="158">
        <f>ROUND(C38/(C32+C35),3)</f>
        <v>0.124</v>
      </c>
      <c r="D42" s="158">
        <f>ROUND(D38/(D32+D35),3)</f>
        <v>0.114</v>
      </c>
      <c r="E42" s="158">
        <f>ROUND(E38/(E32+E35),3)</f>
        <v>0.10199999999999999</v>
      </c>
      <c r="F42" s="158">
        <f>ROUND(F38/(F32+F35),3)</f>
        <v>0.107</v>
      </c>
      <c r="G42" s="158">
        <f>ROUND(G38/(G32+G35),3)</f>
        <v>0.104</v>
      </c>
      <c r="H42" s="158">
        <f>ROUND(SUM(E38/(E32+E35),F38/(F32+F35),G38/(G32+G35))/3,3)</f>
        <v>0.105</v>
      </c>
      <c r="I42" s="158">
        <f>ROUND(SUM(C38/(C32+C35),D38/(D32+D35),E38/(E32+E35),F38/(F32+F35),G38/(G32+G35))/5,3)</f>
        <v>0.11</v>
      </c>
    </row>
    <row r="43" spans="1:9" ht="13.9">
      <c r="A43" s="68"/>
      <c r="B43" s="68"/>
      <c r="C43" s="68"/>
      <c r="D43" s="68"/>
      <c r="E43" s="68"/>
      <c r="F43" s="68"/>
      <c r="G43" s="68"/>
      <c r="H43" s="68"/>
      <c r="I43" s="68"/>
    </row>
    <row r="44" spans="1:9" ht="13.9">
      <c r="A44" s="56" t="s">
        <v>5</v>
      </c>
      <c r="B44" s="68" t="s">
        <v>316</v>
      </c>
      <c r="C44" s="68"/>
      <c r="D44" s="68"/>
      <c r="E44" s="68"/>
      <c r="F44" s="68"/>
      <c r="G44" s="68"/>
      <c r="H44" s="68"/>
      <c r="I44" s="159">
        <v>0.1</v>
      </c>
    </row>
    <row r="45" spans="1:9" ht="13.9">
      <c r="A45" s="68"/>
      <c r="B45" s="68"/>
      <c r="C45" s="68"/>
      <c r="D45" s="68"/>
      <c r="E45" s="68"/>
      <c r="F45" s="68"/>
      <c r="G45" s="68"/>
      <c r="H45" s="68"/>
      <c r="I45" s="68"/>
    </row>
    <row r="46" spans="1:9" ht="13.9">
      <c r="A46" s="68"/>
      <c r="B46" s="68"/>
      <c r="C46" s="68"/>
      <c r="D46" s="68"/>
      <c r="E46" s="68"/>
      <c r="F46" s="68"/>
      <c r="G46" s="68"/>
      <c r="H46" s="68"/>
      <c r="I46" s="68"/>
    </row>
    <row r="47" spans="1:9" ht="13.9">
      <c r="A47" s="68" t="s">
        <v>317</v>
      </c>
      <c r="B47" s="68"/>
      <c r="C47" s="68"/>
      <c r="D47" s="68"/>
      <c r="E47" s="68"/>
      <c r="F47" s="68"/>
      <c r="G47" s="68"/>
      <c r="H47" s="68"/>
      <c r="I47" s="68"/>
    </row>
    <row r="48" spans="1:9" ht="13.9">
      <c r="A48" s="68"/>
      <c r="B48" s="68"/>
      <c r="C48" s="68"/>
      <c r="D48" s="68"/>
      <c r="E48" s="68"/>
      <c r="F48" s="68"/>
      <c r="G48" s="68"/>
      <c r="H48" s="68"/>
      <c r="I48" s="68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3" orientation="portrait" useFirstPageNumber="1" r:id="rId1"/>
  <headerFooter>
    <oddHeader>&amp;R&amp;"Times New Roman, Regular"&amp;10Page &amp;P of 2</oddHeader>
    <oddFooter>&amp;L&amp;"Times New Roman,Regular"© Insurance Services Office, Inc., 2021&amp;C&amp;"Times New Roman,Regular"Maine CA-2021-RZRLC&amp;R&amp;"Times New Roman,Regular"&amp;A</oddFooter>
  </headerFooter>
  <colBreaks count="1" manualBreakCount="1">
    <brk id="10" max="4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Z44"/>
  <sheetViews>
    <sheetView zoomScaleNormal="100" workbookViewId="0"/>
  </sheetViews>
  <sheetFormatPr defaultColWidth="9.1328125" defaultRowHeight="14.25"/>
  <cols>
    <col min="1" max="1" width="20.59765625" style="105" bestFit="1" customWidth="1"/>
    <col min="2" max="2" width="0.73046875" style="95" customWidth="1"/>
    <col min="3" max="3" width="9.06640625" style="105" customWidth="1"/>
    <col min="4" max="4" width="0.73046875" style="105" customWidth="1"/>
    <col min="5" max="5" width="14.73046875" style="105" bestFit="1" customWidth="1"/>
    <col min="6" max="6" width="0.73046875" style="105" customWidth="1"/>
    <col min="7" max="7" width="18.3984375" style="105" customWidth="1"/>
    <col min="8" max="8" width="0.73046875" style="95" customWidth="1"/>
    <col min="9" max="9" width="20.86328125" style="105" customWidth="1"/>
    <col min="10" max="10" width="0.73046875" style="105" customWidth="1"/>
    <col min="11" max="11" width="16.59765625" style="105" customWidth="1"/>
    <col min="12" max="12" width="0.73046875" style="105" customWidth="1"/>
    <col min="13" max="13" width="15.73046875" style="105" customWidth="1"/>
    <col min="14" max="14" width="9.1328125" style="97"/>
    <col min="15" max="15" width="11.86328125" style="97" customWidth="1"/>
    <col min="16" max="21" width="9.1328125" style="97"/>
    <col min="22" max="22" width="10.265625" style="97" bestFit="1" customWidth="1"/>
    <col min="23" max="28" width="9.1328125" style="97"/>
    <col min="29" max="29" width="11.59765625" style="97" bestFit="1" customWidth="1"/>
    <col min="30" max="35" width="9.1328125" style="97"/>
    <col min="36" max="36" width="10.265625" style="97" bestFit="1" customWidth="1"/>
    <col min="37" max="16384" width="9.1328125" style="97"/>
  </cols>
  <sheetData>
    <row r="1" spans="1:26">
      <c r="A1" s="105" t="s">
        <v>0</v>
      </c>
      <c r="C1" s="95"/>
      <c r="D1" s="95"/>
      <c r="E1" s="271" t="s">
        <v>227</v>
      </c>
      <c r="F1" s="271"/>
      <c r="G1" s="271"/>
      <c r="H1" s="271"/>
      <c r="I1" s="271"/>
      <c r="J1" s="271"/>
      <c r="K1" s="271"/>
      <c r="L1" s="96"/>
      <c r="M1" s="95"/>
    </row>
    <row r="2" spans="1:26">
      <c r="A2" s="95"/>
      <c r="C2" s="95"/>
      <c r="D2" s="95"/>
      <c r="E2" s="271"/>
      <c r="F2" s="271"/>
      <c r="G2" s="271"/>
      <c r="H2" s="271"/>
      <c r="I2" s="271"/>
      <c r="J2" s="271"/>
      <c r="K2" s="271"/>
      <c r="L2" s="271"/>
      <c r="M2" s="95"/>
    </row>
    <row r="3" spans="1:26">
      <c r="A3" s="95"/>
      <c r="C3" s="95"/>
      <c r="D3" s="95"/>
      <c r="E3" s="271" t="s">
        <v>228</v>
      </c>
      <c r="F3" s="271"/>
      <c r="G3" s="271"/>
      <c r="H3" s="271"/>
      <c r="I3" s="271"/>
      <c r="J3" s="271"/>
      <c r="K3" s="271"/>
      <c r="L3" s="96"/>
      <c r="M3" s="95"/>
    </row>
    <row r="4" spans="1:26">
      <c r="A4" s="95"/>
      <c r="C4" s="95"/>
      <c r="D4" s="95"/>
      <c r="E4" s="95"/>
      <c r="F4" s="95"/>
      <c r="G4" s="95"/>
      <c r="I4" s="95"/>
      <c r="J4" s="95"/>
      <c r="K4" s="95"/>
      <c r="L4" s="95"/>
      <c r="M4" s="95"/>
    </row>
    <row r="5" spans="1:26">
      <c r="A5" s="95"/>
      <c r="C5" s="95"/>
      <c r="D5" s="95"/>
      <c r="E5" s="271" t="s">
        <v>229</v>
      </c>
      <c r="F5" s="271"/>
      <c r="G5" s="271"/>
      <c r="H5" s="271"/>
      <c r="I5" s="271"/>
      <c r="J5" s="271"/>
      <c r="K5" s="271"/>
      <c r="L5" s="96"/>
      <c r="M5" s="95"/>
    </row>
    <row r="6" spans="1:26">
      <c r="A6" s="95"/>
      <c r="C6" s="95"/>
      <c r="D6" s="95"/>
      <c r="E6" s="95"/>
      <c r="F6" s="95"/>
      <c r="G6" s="95"/>
      <c r="I6" s="95"/>
      <c r="J6" s="95"/>
      <c r="K6" s="95"/>
      <c r="L6" s="95"/>
      <c r="M6" s="95"/>
    </row>
    <row r="7" spans="1:26">
      <c r="A7" s="95"/>
      <c r="C7" s="95"/>
      <c r="D7" s="95"/>
      <c r="E7" s="95"/>
      <c r="F7" s="95"/>
      <c r="G7" s="95"/>
      <c r="I7" s="95"/>
      <c r="J7" s="95"/>
      <c r="K7" s="95"/>
      <c r="L7" s="95"/>
      <c r="M7" s="95"/>
    </row>
    <row r="8" spans="1:26">
      <c r="A8" s="95"/>
      <c r="C8" s="95"/>
      <c r="D8" s="95"/>
      <c r="E8" s="193" t="s">
        <v>230</v>
      </c>
      <c r="F8" s="95"/>
      <c r="G8" s="95"/>
      <c r="I8" s="95"/>
      <c r="J8" s="95"/>
      <c r="K8" s="95"/>
      <c r="M8" s="95"/>
    </row>
    <row r="9" spans="1:26">
      <c r="A9" s="95"/>
      <c r="C9" s="271"/>
      <c r="D9" s="271"/>
      <c r="E9" s="192" t="s">
        <v>32</v>
      </c>
      <c r="F9" s="188"/>
      <c r="G9" s="188"/>
      <c r="H9" s="96"/>
      <c r="I9" s="271" t="s">
        <v>33</v>
      </c>
      <c r="J9" s="271"/>
      <c r="K9" s="271"/>
      <c r="M9" s="95"/>
    </row>
    <row r="10" spans="1:26">
      <c r="A10" s="95"/>
      <c r="C10" s="271"/>
      <c r="D10" s="271"/>
      <c r="E10" s="193" t="s">
        <v>231</v>
      </c>
      <c r="F10" s="189"/>
      <c r="G10" s="189"/>
      <c r="H10" s="98"/>
      <c r="I10" s="273" t="s">
        <v>231</v>
      </c>
      <c r="J10" s="273"/>
      <c r="K10" s="273"/>
      <c r="M10" s="95"/>
    </row>
    <row r="11" spans="1:26">
      <c r="A11" s="95"/>
      <c r="C11" s="99"/>
      <c r="D11" s="99"/>
      <c r="E11" s="99" t="s">
        <v>1</v>
      </c>
      <c r="F11" s="99"/>
      <c r="G11" s="99" t="s">
        <v>2</v>
      </c>
      <c r="H11" s="99"/>
      <c r="I11" s="99" t="s">
        <v>3</v>
      </c>
      <c r="J11" s="99"/>
      <c r="K11" s="100" t="s">
        <v>4</v>
      </c>
      <c r="M11" s="95"/>
    </row>
    <row r="12" spans="1:26" ht="14.25" customHeight="1">
      <c r="A12" s="101" t="s">
        <v>232</v>
      </c>
      <c r="B12" s="102"/>
      <c r="C12" s="271"/>
      <c r="D12" s="188"/>
      <c r="E12" s="188" t="s">
        <v>233</v>
      </c>
      <c r="F12" s="188"/>
      <c r="G12" s="190" t="s">
        <v>239</v>
      </c>
      <c r="H12" s="102"/>
      <c r="I12" s="271" t="s">
        <v>233</v>
      </c>
      <c r="J12" s="96"/>
      <c r="K12" s="274" t="s">
        <v>239</v>
      </c>
      <c r="M12" s="95"/>
    </row>
    <row r="13" spans="1:26">
      <c r="A13" s="96" t="s">
        <v>234</v>
      </c>
      <c r="B13" s="102"/>
      <c r="C13" s="271"/>
      <c r="D13" s="188"/>
      <c r="E13" s="189"/>
      <c r="F13" s="188"/>
      <c r="G13" s="191"/>
      <c r="H13" s="102"/>
      <c r="I13" s="273"/>
      <c r="J13" s="96"/>
      <c r="K13" s="275"/>
      <c r="M13" s="95"/>
      <c r="N13" s="97" t="s">
        <v>247</v>
      </c>
      <c r="O13" s="97" t="s">
        <v>248</v>
      </c>
      <c r="P13" s="97" t="s">
        <v>249</v>
      </c>
      <c r="Q13" s="97" t="s">
        <v>250</v>
      </c>
      <c r="R13" s="97" t="s">
        <v>251</v>
      </c>
      <c r="S13" s="97" t="s">
        <v>252</v>
      </c>
      <c r="U13" s="97" t="s">
        <v>247</v>
      </c>
      <c r="V13" s="97" t="s">
        <v>248</v>
      </c>
      <c r="W13" s="97" t="s">
        <v>249</v>
      </c>
      <c r="X13" s="97" t="s">
        <v>250</v>
      </c>
      <c r="Y13" s="97" t="s">
        <v>251</v>
      </c>
      <c r="Z13" s="97" t="s">
        <v>252</v>
      </c>
    </row>
    <row r="14" spans="1:26">
      <c r="A14" s="103">
        <v>42825</v>
      </c>
      <c r="B14" s="103"/>
      <c r="C14" s="122"/>
      <c r="D14" s="104"/>
      <c r="E14" s="122">
        <v>22369.85</v>
      </c>
      <c r="F14" s="95"/>
      <c r="G14" s="104">
        <f t="shared" ref="G14:G25" si="0">S14</f>
        <v>22253.657064502411</v>
      </c>
      <c r="I14" s="122">
        <v>4308.4399999999996</v>
      </c>
      <c r="J14" s="95"/>
      <c r="K14" s="104">
        <f t="shared" ref="K14:K25" si="1">Z14</f>
        <v>4252.3448881958684</v>
      </c>
      <c r="M14" s="95"/>
      <c r="N14" s="97">
        <v>1</v>
      </c>
      <c r="O14" s="104">
        <f t="shared" ref="O14:O25" si="2">E14</f>
        <v>22369.85</v>
      </c>
      <c r="P14" s="97">
        <f>LN(O14)</f>
        <v>10.015469349052664</v>
      </c>
      <c r="Q14" s="97">
        <f>N14*P14</f>
        <v>10.015469349052664</v>
      </c>
      <c r="R14" s="97">
        <f>N14^2</f>
        <v>1</v>
      </c>
      <c r="S14" s="97">
        <f>$O$30*$O$33^N14</f>
        <v>22253.657064502411</v>
      </c>
      <c r="U14" s="97">
        <v>1</v>
      </c>
      <c r="V14" s="104">
        <f t="shared" ref="V14:V25" si="3">I14</f>
        <v>4308.4399999999996</v>
      </c>
      <c r="W14" s="97">
        <f>LN(V14)</f>
        <v>8.368331168622543</v>
      </c>
      <c r="X14" s="97">
        <f>U14*W14</f>
        <v>8.368331168622543</v>
      </c>
      <c r="Y14" s="97">
        <f>U14^2</f>
        <v>1</v>
      </c>
      <c r="Z14" s="97">
        <f>$V$30*$V$33^U14</f>
        <v>4252.3448881958684</v>
      </c>
    </row>
    <row r="15" spans="1:26">
      <c r="A15" s="103">
        <v>42916</v>
      </c>
      <c r="B15" s="103"/>
      <c r="C15" s="122"/>
      <c r="D15" s="95"/>
      <c r="E15" s="122">
        <v>22646.73</v>
      </c>
      <c r="F15" s="95"/>
      <c r="G15" s="104">
        <f t="shared" si="0"/>
        <v>22576.725441509763</v>
      </c>
      <c r="I15" s="122">
        <v>4331.26</v>
      </c>
      <c r="J15" s="95"/>
      <c r="K15" s="104">
        <f t="shared" si="1"/>
        <v>4313.788628067643</v>
      </c>
      <c r="M15" s="95"/>
      <c r="N15" s="97">
        <f>N14+1</f>
        <v>2</v>
      </c>
      <c r="O15" s="104">
        <f t="shared" si="2"/>
        <v>22646.73</v>
      </c>
      <c r="P15" s="97">
        <f t="shared" ref="P15:P25" si="4">LN(O15)</f>
        <v>10.027770749627777</v>
      </c>
      <c r="Q15" s="97">
        <f t="shared" ref="Q15:Q25" si="5">N15*P15</f>
        <v>20.055541499255554</v>
      </c>
      <c r="R15" s="97">
        <f t="shared" ref="R15:R25" si="6">N15^2</f>
        <v>4</v>
      </c>
      <c r="S15" s="97">
        <f t="shared" ref="S15:S25" si="7">$O$30*$O$33^N15</f>
        <v>22576.725441509763</v>
      </c>
      <c r="U15" s="97">
        <f>U14+1</f>
        <v>2</v>
      </c>
      <c r="V15" s="104">
        <f t="shared" si="3"/>
        <v>4331.26</v>
      </c>
      <c r="W15" s="97">
        <f t="shared" ref="W15:W25" si="8">LN(V15)</f>
        <v>8.3736137717378565</v>
      </c>
      <c r="X15" s="97">
        <f t="shared" ref="X15:X25" si="9">U15*W15</f>
        <v>16.747227543475713</v>
      </c>
      <c r="Y15" s="97">
        <f t="shared" ref="Y15:Y25" si="10">U15^2</f>
        <v>4</v>
      </c>
      <c r="Z15" s="97">
        <f t="shared" ref="Z15:Z25" si="11">$V$30*$V$33^U15</f>
        <v>4313.788628067643</v>
      </c>
    </row>
    <row r="16" spans="1:26">
      <c r="A16" s="103">
        <v>43008</v>
      </c>
      <c r="B16" s="103"/>
      <c r="C16" s="122"/>
      <c r="D16" s="95"/>
      <c r="E16" s="122">
        <v>22646.45</v>
      </c>
      <c r="F16" s="95"/>
      <c r="G16" s="104">
        <f t="shared" si="0"/>
        <v>22904.483976899606</v>
      </c>
      <c r="I16" s="122">
        <v>4381.4799999999996</v>
      </c>
      <c r="J16" s="95"/>
      <c r="K16" s="104">
        <f t="shared" si="1"/>
        <v>4376.1201917798389</v>
      </c>
      <c r="M16" s="95"/>
      <c r="N16" s="97">
        <f t="shared" ref="N16:N23" si="12">N15+1</f>
        <v>3</v>
      </c>
      <c r="O16" s="104">
        <f t="shared" si="2"/>
        <v>22646.45</v>
      </c>
      <c r="P16" s="97">
        <f t="shared" si="4"/>
        <v>10.027758385735465</v>
      </c>
      <c r="Q16" s="97">
        <f t="shared" si="5"/>
        <v>30.083275157206394</v>
      </c>
      <c r="R16" s="97">
        <f t="shared" si="6"/>
        <v>9</v>
      </c>
      <c r="S16" s="97">
        <f t="shared" si="7"/>
        <v>22904.483976899606</v>
      </c>
      <c r="U16" s="97">
        <f t="shared" ref="U16:U23" si="13">U15+1</f>
        <v>3</v>
      </c>
      <c r="V16" s="104">
        <f t="shared" si="3"/>
        <v>4381.4799999999996</v>
      </c>
      <c r="W16" s="97">
        <f t="shared" si="8"/>
        <v>8.3851418458386764</v>
      </c>
      <c r="X16" s="97">
        <f t="shared" si="9"/>
        <v>25.155425537516031</v>
      </c>
      <c r="Y16" s="97">
        <f t="shared" si="10"/>
        <v>9</v>
      </c>
      <c r="Z16" s="97">
        <f t="shared" si="11"/>
        <v>4376.1201917798389</v>
      </c>
    </row>
    <row r="17" spans="1:26">
      <c r="A17" s="103">
        <v>43100</v>
      </c>
      <c r="B17" s="103"/>
      <c r="C17" s="122"/>
      <c r="D17" s="95"/>
      <c r="E17" s="122">
        <v>23021.33</v>
      </c>
      <c r="F17" s="95"/>
      <c r="G17" s="104">
        <f t="shared" si="0"/>
        <v>23237.00076023817</v>
      </c>
      <c r="I17" s="122">
        <v>4411.53</v>
      </c>
      <c r="J17" s="95"/>
      <c r="K17" s="104">
        <f t="shared" si="1"/>
        <v>4439.3524078349728</v>
      </c>
      <c r="M17" s="95"/>
      <c r="N17" s="97">
        <f t="shared" si="12"/>
        <v>4</v>
      </c>
      <c r="O17" s="104">
        <f t="shared" si="2"/>
        <v>23021.33</v>
      </c>
      <c r="P17" s="97">
        <f t="shared" si="4"/>
        <v>10.044176456454004</v>
      </c>
      <c r="Q17" s="97">
        <f t="shared" si="5"/>
        <v>40.176705825816015</v>
      </c>
      <c r="R17" s="97">
        <f t="shared" si="6"/>
        <v>16</v>
      </c>
      <c r="S17" s="97">
        <f t="shared" si="7"/>
        <v>23237.00076023817</v>
      </c>
      <c r="U17" s="97">
        <f t="shared" si="13"/>
        <v>4</v>
      </c>
      <c r="V17" s="104">
        <f t="shared" si="3"/>
        <v>4411.53</v>
      </c>
      <c r="W17" s="97">
        <f t="shared" si="8"/>
        <v>8.3919768470470615</v>
      </c>
      <c r="X17" s="97">
        <f t="shared" si="9"/>
        <v>33.567907388188246</v>
      </c>
      <c r="Y17" s="97">
        <f t="shared" si="10"/>
        <v>16</v>
      </c>
      <c r="Z17" s="97">
        <f t="shared" si="11"/>
        <v>4439.3524078349728</v>
      </c>
    </row>
    <row r="18" spans="1:26">
      <c r="A18" s="103">
        <v>43190</v>
      </c>
      <c r="B18" s="103"/>
      <c r="C18" s="122"/>
      <c r="D18" s="95"/>
      <c r="E18" s="122">
        <v>23456.3</v>
      </c>
      <c r="F18" s="95"/>
      <c r="G18" s="104">
        <f t="shared" si="0"/>
        <v>23574.344869584747</v>
      </c>
      <c r="I18" s="122">
        <v>4454.8</v>
      </c>
      <c r="J18" s="95"/>
      <c r="K18" s="104">
        <f t="shared" si="1"/>
        <v>4503.4982900994464</v>
      </c>
      <c r="M18" s="95"/>
      <c r="N18" s="97">
        <f t="shared" si="12"/>
        <v>5</v>
      </c>
      <c r="O18" s="104">
        <f t="shared" si="2"/>
        <v>23456.3</v>
      </c>
      <c r="P18" s="97">
        <f t="shared" si="4"/>
        <v>10.06289439450909</v>
      </c>
      <c r="Q18" s="97">
        <f t="shared" si="5"/>
        <v>50.314471972545448</v>
      </c>
      <c r="R18" s="97">
        <f t="shared" si="6"/>
        <v>25</v>
      </c>
      <c r="S18" s="97">
        <f t="shared" si="7"/>
        <v>23574.344869584747</v>
      </c>
      <c r="U18" s="97">
        <f t="shared" si="13"/>
        <v>5</v>
      </c>
      <c r="V18" s="104">
        <f t="shared" si="3"/>
        <v>4454.8</v>
      </c>
      <c r="W18" s="97">
        <f t="shared" si="8"/>
        <v>8.4017374455189451</v>
      </c>
      <c r="X18" s="97">
        <f t="shared" si="9"/>
        <v>42.008687227594727</v>
      </c>
      <c r="Y18" s="97">
        <f t="shared" si="10"/>
        <v>25</v>
      </c>
      <c r="Z18" s="97">
        <f t="shared" si="11"/>
        <v>4503.4982900994464</v>
      </c>
    </row>
    <row r="19" spans="1:26">
      <c r="A19" s="103">
        <v>43281</v>
      </c>
      <c r="B19" s="103"/>
      <c r="C19" s="122"/>
      <c r="D19" s="95"/>
      <c r="E19" s="122">
        <v>24019.77</v>
      </c>
      <c r="F19" s="95"/>
      <c r="G19" s="104">
        <f t="shared" si="0"/>
        <v>23916.58638584218</v>
      </c>
      <c r="I19" s="122">
        <v>4530.24</v>
      </c>
      <c r="J19" s="95"/>
      <c r="K19" s="104">
        <f t="shared" si="1"/>
        <v>4568.5710404819438</v>
      </c>
      <c r="M19" s="95"/>
      <c r="N19" s="97">
        <f t="shared" si="12"/>
        <v>6</v>
      </c>
      <c r="O19" s="104">
        <f t="shared" si="2"/>
        <v>24019.77</v>
      </c>
      <c r="P19" s="97">
        <f t="shared" si="4"/>
        <v>10.086632520234259</v>
      </c>
      <c r="Q19" s="97">
        <f t="shared" si="5"/>
        <v>60.519795121405551</v>
      </c>
      <c r="R19" s="97">
        <f t="shared" si="6"/>
        <v>36</v>
      </c>
      <c r="S19" s="97">
        <f t="shared" si="7"/>
        <v>23916.58638584218</v>
      </c>
      <c r="U19" s="97">
        <f t="shared" si="13"/>
        <v>6</v>
      </c>
      <c r="V19" s="104">
        <f t="shared" si="3"/>
        <v>4530.24</v>
      </c>
      <c r="W19" s="97">
        <f t="shared" si="8"/>
        <v>8.4185301972061328</v>
      </c>
      <c r="X19" s="97">
        <f t="shared" si="9"/>
        <v>50.511181183236801</v>
      </c>
      <c r="Y19" s="97">
        <f t="shared" si="10"/>
        <v>36</v>
      </c>
      <c r="Z19" s="97">
        <f t="shared" si="11"/>
        <v>4568.5710404819438</v>
      </c>
    </row>
    <row r="20" spans="1:26">
      <c r="A20" s="103">
        <v>43373</v>
      </c>
      <c r="B20" s="103"/>
      <c r="C20" s="122"/>
      <c r="D20" s="95"/>
      <c r="E20" s="122">
        <v>24507.17</v>
      </c>
      <c r="F20" s="95"/>
      <c r="G20" s="104">
        <f t="shared" si="0"/>
        <v>24263.796407315698</v>
      </c>
      <c r="I20" s="122">
        <v>4605.63</v>
      </c>
      <c r="J20" s="95"/>
      <c r="K20" s="104">
        <f t="shared" si="1"/>
        <v>4634.5840516505159</v>
      </c>
      <c r="M20" s="95"/>
      <c r="N20" s="97">
        <f t="shared" si="12"/>
        <v>7</v>
      </c>
      <c r="O20" s="104">
        <f t="shared" si="2"/>
        <v>24507.17</v>
      </c>
      <c r="P20" s="97">
        <f t="shared" si="4"/>
        <v>10.106721006779489</v>
      </c>
      <c r="Q20" s="97">
        <f t="shared" si="5"/>
        <v>70.747047047456419</v>
      </c>
      <c r="R20" s="97">
        <f t="shared" si="6"/>
        <v>49</v>
      </c>
      <c r="S20" s="97">
        <f t="shared" si="7"/>
        <v>24263.796407315698</v>
      </c>
      <c r="U20" s="97">
        <f t="shared" si="13"/>
        <v>7</v>
      </c>
      <c r="V20" s="104">
        <f t="shared" si="3"/>
        <v>4605.63</v>
      </c>
      <c r="W20" s="97">
        <f t="shared" si="8"/>
        <v>8.4350347471496612</v>
      </c>
      <c r="X20" s="97">
        <f t="shared" si="9"/>
        <v>59.045243230047632</v>
      </c>
      <c r="Y20" s="97">
        <f t="shared" si="10"/>
        <v>49</v>
      </c>
      <c r="Z20" s="97">
        <f t="shared" si="11"/>
        <v>4634.5840516505159</v>
      </c>
    </row>
    <row r="21" spans="1:26">
      <c r="A21" s="103">
        <v>43465</v>
      </c>
      <c r="B21" s="103"/>
      <c r="C21" s="122"/>
      <c r="D21" s="95"/>
      <c r="E21" s="122">
        <v>24826.9</v>
      </c>
      <c r="F21" s="95"/>
      <c r="G21" s="104">
        <f t="shared" si="0"/>
        <v>24616.047064483071</v>
      </c>
      <c r="I21" s="122">
        <v>4695.8999999999996</v>
      </c>
      <c r="J21" s="95"/>
      <c r="K21" s="104">
        <f t="shared" si="1"/>
        <v>4701.5509097889462</v>
      </c>
      <c r="M21" s="95"/>
      <c r="N21" s="97">
        <f t="shared" si="12"/>
        <v>8</v>
      </c>
      <c r="O21" s="104">
        <f t="shared" si="2"/>
        <v>24826.9</v>
      </c>
      <c r="P21" s="97">
        <f t="shared" si="4"/>
        <v>10.119683021734915</v>
      </c>
      <c r="Q21" s="97">
        <f t="shared" si="5"/>
        <v>80.957464173879316</v>
      </c>
      <c r="R21" s="97">
        <f t="shared" si="6"/>
        <v>64</v>
      </c>
      <c r="S21" s="97">
        <f t="shared" si="7"/>
        <v>24616.047064483071</v>
      </c>
      <c r="U21" s="97">
        <f t="shared" si="13"/>
        <v>8</v>
      </c>
      <c r="V21" s="104">
        <f t="shared" si="3"/>
        <v>4695.8999999999996</v>
      </c>
      <c r="W21" s="97">
        <f t="shared" si="8"/>
        <v>8.4544450665622861</v>
      </c>
      <c r="X21" s="97">
        <f t="shared" si="9"/>
        <v>67.635560532498289</v>
      </c>
      <c r="Y21" s="97">
        <f t="shared" si="10"/>
        <v>64</v>
      </c>
      <c r="Z21" s="97">
        <f t="shared" si="11"/>
        <v>4701.5509097889462</v>
      </c>
    </row>
    <row r="22" spans="1:26">
      <c r="A22" s="103">
        <v>43555</v>
      </c>
      <c r="B22" s="103"/>
      <c r="C22" s="122"/>
      <c r="D22" s="95"/>
      <c r="E22" s="122">
        <v>25194.58</v>
      </c>
      <c r="F22" s="95"/>
      <c r="G22" s="104">
        <f t="shared" si="0"/>
        <v>24973.411534979234</v>
      </c>
      <c r="I22" s="122">
        <v>4777.54</v>
      </c>
      <c r="J22" s="95"/>
      <c r="K22" s="104">
        <f t="shared" si="1"/>
        <v>4769.4853973929248</v>
      </c>
      <c r="M22" s="95"/>
      <c r="N22" s="97">
        <f t="shared" si="12"/>
        <v>9</v>
      </c>
      <c r="O22" s="104">
        <f t="shared" si="2"/>
        <v>25194.58</v>
      </c>
      <c r="P22" s="97">
        <f t="shared" si="4"/>
        <v>10.134384171001551</v>
      </c>
      <c r="Q22" s="97">
        <f t="shared" si="5"/>
        <v>91.209457539013968</v>
      </c>
      <c r="R22" s="97">
        <f t="shared" si="6"/>
        <v>81</v>
      </c>
      <c r="S22" s="97">
        <f t="shared" si="7"/>
        <v>24973.411534979234</v>
      </c>
      <c r="U22" s="97">
        <f t="shared" si="13"/>
        <v>9</v>
      </c>
      <c r="V22" s="104">
        <f t="shared" si="3"/>
        <v>4777.54</v>
      </c>
      <c r="W22" s="97">
        <f t="shared" si="8"/>
        <v>8.47168104865918</v>
      </c>
      <c r="X22" s="97">
        <f t="shared" si="9"/>
        <v>76.245129437932619</v>
      </c>
      <c r="Y22" s="97">
        <f t="shared" si="10"/>
        <v>81</v>
      </c>
      <c r="Z22" s="97">
        <f t="shared" si="11"/>
        <v>4769.4853973929248</v>
      </c>
    </row>
    <row r="23" spans="1:26">
      <c r="A23" s="103">
        <v>43646</v>
      </c>
      <c r="B23" s="103"/>
      <c r="C23" s="122"/>
      <c r="D23" s="95"/>
      <c r="E23" s="122">
        <v>25257.58</v>
      </c>
      <c r="F23" s="95"/>
      <c r="G23" s="104">
        <f t="shared" si="0"/>
        <v>25335.964058798436</v>
      </c>
      <c r="I23" s="122">
        <v>4857.59</v>
      </c>
      <c r="J23" s="95"/>
      <c r="K23" s="104">
        <f t="shared" si="1"/>
        <v>4838.4014961066332</v>
      </c>
      <c r="M23" s="95"/>
      <c r="N23" s="97">
        <f t="shared" si="12"/>
        <v>10</v>
      </c>
      <c r="O23" s="104">
        <f t="shared" si="2"/>
        <v>25257.58</v>
      </c>
      <c r="P23" s="97">
        <f t="shared" si="4"/>
        <v>10.136881587672898</v>
      </c>
      <c r="Q23" s="97">
        <f t="shared" si="5"/>
        <v>101.36881587672897</v>
      </c>
      <c r="R23" s="97">
        <f t="shared" si="6"/>
        <v>100</v>
      </c>
      <c r="S23" s="97">
        <f t="shared" si="7"/>
        <v>25335.964058798436</v>
      </c>
      <c r="U23" s="97">
        <f t="shared" si="13"/>
        <v>10</v>
      </c>
      <c r="V23" s="104">
        <f t="shared" si="3"/>
        <v>4857.59</v>
      </c>
      <c r="W23" s="97">
        <f t="shared" si="8"/>
        <v>8.4882977091293608</v>
      </c>
      <c r="X23" s="97">
        <f t="shared" si="9"/>
        <v>84.882977091293611</v>
      </c>
      <c r="Y23" s="97">
        <f t="shared" si="10"/>
        <v>100</v>
      </c>
      <c r="Z23" s="97">
        <f t="shared" si="11"/>
        <v>4838.4014961066332</v>
      </c>
    </row>
    <row r="24" spans="1:26">
      <c r="A24" s="103">
        <v>43738</v>
      </c>
      <c r="B24" s="103"/>
      <c r="C24" s="122"/>
      <c r="D24" s="95"/>
      <c r="E24" s="122">
        <v>25533.57</v>
      </c>
      <c r="F24" s="95"/>
      <c r="G24" s="104">
        <f t="shared" si="0"/>
        <v>25703.779953717087</v>
      </c>
      <c r="I24" s="122">
        <v>4930.59</v>
      </c>
      <c r="J24" s="95"/>
      <c r="K24" s="104">
        <f t="shared" si="1"/>
        <v>4908.3133896003219</v>
      </c>
      <c r="M24" s="95"/>
      <c r="N24" s="97">
        <v>11</v>
      </c>
      <c r="O24" s="104">
        <f t="shared" si="2"/>
        <v>25533.57</v>
      </c>
      <c r="P24" s="97">
        <f t="shared" si="4"/>
        <v>10.14774933594712</v>
      </c>
      <c r="Q24" s="97">
        <f t="shared" si="5"/>
        <v>111.62524269541832</v>
      </c>
      <c r="R24" s="97">
        <f t="shared" si="6"/>
        <v>121</v>
      </c>
      <c r="S24" s="97">
        <f t="shared" si="7"/>
        <v>25703.779953717087</v>
      </c>
      <c r="U24" s="97">
        <v>11</v>
      </c>
      <c r="V24" s="104">
        <f t="shared" si="3"/>
        <v>4930.59</v>
      </c>
      <c r="W24" s="97">
        <f t="shared" si="8"/>
        <v>8.5032139353325888</v>
      </c>
      <c r="X24" s="97">
        <f t="shared" si="9"/>
        <v>93.535353288658484</v>
      </c>
      <c r="Y24" s="97">
        <f t="shared" si="10"/>
        <v>121</v>
      </c>
      <c r="Z24" s="97">
        <f t="shared" si="11"/>
        <v>4908.3133896003219</v>
      </c>
    </row>
    <row r="25" spans="1:26">
      <c r="A25" s="103">
        <v>43830</v>
      </c>
      <c r="B25" s="103"/>
      <c r="C25" s="122"/>
      <c r="D25" s="95"/>
      <c r="E25" s="122">
        <v>25959.37</v>
      </c>
      <c r="F25" s="95"/>
      <c r="G25" s="104">
        <f t="shared" si="0"/>
        <v>26076.935630940476</v>
      </c>
      <c r="I25" s="122">
        <v>5001.74</v>
      </c>
      <c r="J25" s="95"/>
      <c r="K25" s="104">
        <f t="shared" si="1"/>
        <v>4979.2354664894592</v>
      </c>
      <c r="M25" s="95"/>
      <c r="N25" s="97">
        <v>12</v>
      </c>
      <c r="O25" s="104">
        <f t="shared" si="2"/>
        <v>25959.37</v>
      </c>
      <c r="P25" s="97">
        <f t="shared" si="4"/>
        <v>10.164287902418774</v>
      </c>
      <c r="Q25" s="97">
        <f t="shared" si="5"/>
        <v>121.97145482902529</v>
      </c>
      <c r="R25" s="97">
        <f t="shared" si="6"/>
        <v>144</v>
      </c>
      <c r="S25" s="97">
        <f t="shared" si="7"/>
        <v>26076.935630940476</v>
      </c>
      <c r="U25" s="97">
        <v>12</v>
      </c>
      <c r="V25" s="104">
        <f t="shared" si="3"/>
        <v>5001.74</v>
      </c>
      <c r="W25" s="97">
        <f t="shared" si="8"/>
        <v>8.517541130878282</v>
      </c>
      <c r="X25" s="97">
        <f t="shared" si="9"/>
        <v>102.21049357053938</v>
      </c>
      <c r="Y25" s="97">
        <f t="shared" si="10"/>
        <v>144</v>
      </c>
      <c r="Z25" s="97">
        <f t="shared" si="11"/>
        <v>4979.2354664894592</v>
      </c>
    </row>
    <row r="26" spans="1:26">
      <c r="A26" s="95"/>
      <c r="C26" s="95"/>
      <c r="D26" s="95"/>
      <c r="E26" s="95"/>
      <c r="F26" s="95"/>
      <c r="G26" s="95"/>
      <c r="I26" s="95"/>
      <c r="J26" s="95"/>
      <c r="K26" s="95"/>
      <c r="L26" s="95"/>
      <c r="M26" s="95"/>
      <c r="N26" s="97">
        <f>SUM(N14:N25)</f>
        <v>78</v>
      </c>
      <c r="O26" s="97">
        <f>SUM(O14:O25)</f>
        <v>289439.59999999998</v>
      </c>
      <c r="P26" s="97">
        <f>SUM(P14:P25)</f>
        <v>121.07440888116804</v>
      </c>
      <c r="Q26" s="97">
        <f>SUM(Q14:Q25)</f>
        <v>789.04474108680404</v>
      </c>
      <c r="R26" s="97">
        <f>SUM(R14:R25)</f>
        <v>650</v>
      </c>
      <c r="U26" s="97">
        <f>SUM(U14:U25)</f>
        <v>78</v>
      </c>
      <c r="V26" s="97">
        <f>SUM(V14:V25)</f>
        <v>55286.74</v>
      </c>
      <c r="W26" s="97">
        <f>SUM(W14:W25)</f>
        <v>101.20954491368256</v>
      </c>
      <c r="X26" s="97">
        <f>SUM(X14:X25)</f>
        <v>659.91351719960403</v>
      </c>
      <c r="Y26" s="97">
        <f>SUM(Y14:Y25)</f>
        <v>650</v>
      </c>
    </row>
    <row r="27" spans="1:26">
      <c r="A27" s="95"/>
      <c r="C27" s="95"/>
      <c r="D27" s="95"/>
      <c r="E27" s="95"/>
      <c r="F27" s="95"/>
      <c r="G27" s="95"/>
      <c r="I27" s="241" t="s">
        <v>505</v>
      </c>
      <c r="J27" s="95"/>
      <c r="K27" s="241" t="s">
        <v>507</v>
      </c>
      <c r="L27" s="95"/>
      <c r="M27" s="95"/>
      <c r="N27" s="97">
        <f>N26/$Q$35</f>
        <v>6.5</v>
      </c>
      <c r="O27" s="97">
        <f>O26/$Q$35</f>
        <v>24119.966666666664</v>
      </c>
      <c r="P27" s="97">
        <f t="shared" ref="P27:R27" si="14">P26/$Q$35</f>
        <v>10.08953407343067</v>
      </c>
      <c r="Q27" s="97">
        <f t="shared" si="14"/>
        <v>65.753728423900341</v>
      </c>
      <c r="R27" s="97">
        <f t="shared" si="14"/>
        <v>54.166666666666664</v>
      </c>
      <c r="U27" s="97">
        <f>U26/$X$35</f>
        <v>6.5</v>
      </c>
      <c r="V27" s="97">
        <f>V26/$X$35</f>
        <v>4607.2283333333335</v>
      </c>
      <c r="W27" s="97">
        <f t="shared" ref="W27:Y27" si="15">W26/$X$35</f>
        <v>8.4341287428068803</v>
      </c>
      <c r="X27" s="97">
        <f t="shared" si="15"/>
        <v>54.992793099967002</v>
      </c>
      <c r="Y27" s="97">
        <f t="shared" si="15"/>
        <v>54.166666666666664</v>
      </c>
    </row>
    <row r="28" spans="1:26">
      <c r="A28" s="95"/>
      <c r="C28" s="95"/>
      <c r="D28" s="95"/>
      <c r="E28" s="95"/>
      <c r="F28" s="95"/>
      <c r="G28" s="95"/>
      <c r="I28" s="242" t="s">
        <v>506</v>
      </c>
      <c r="J28" s="242"/>
      <c r="K28" s="242" t="s">
        <v>508</v>
      </c>
      <c r="L28" s="95"/>
      <c r="M28" s="95"/>
    </row>
    <row r="29" spans="1:26">
      <c r="C29" s="95"/>
      <c r="D29" s="95"/>
      <c r="E29" s="95"/>
      <c r="F29" s="95"/>
      <c r="G29" s="95"/>
      <c r="I29" s="95"/>
      <c r="J29" s="95"/>
      <c r="K29" s="95"/>
      <c r="L29" s="95"/>
      <c r="M29" s="95"/>
      <c r="N29" s="97" t="s">
        <v>253</v>
      </c>
      <c r="O29" s="97">
        <f>((R26*P26)-(Q26*N26))/((Q35*(R26))-((N26)^2))</f>
        <v>9.9958484661937668</v>
      </c>
      <c r="U29" s="97" t="s">
        <v>253</v>
      </c>
      <c r="V29" s="97">
        <f>((Y26*W26)-(X26*U26))/((X35*(Y26))-((U26)^2))</f>
        <v>8.3408798673219948</v>
      </c>
    </row>
    <row r="30" spans="1:26">
      <c r="A30" s="95" t="s">
        <v>499</v>
      </c>
      <c r="D30" s="95"/>
      <c r="E30" s="95"/>
      <c r="F30" s="95"/>
      <c r="G30" s="95"/>
      <c r="I30" s="95"/>
      <c r="J30" s="95"/>
      <c r="K30" s="95"/>
      <c r="L30" s="95"/>
      <c r="M30" s="95"/>
      <c r="N30" s="97" t="s">
        <v>254</v>
      </c>
      <c r="O30" s="97">
        <f>EXP(O29)</f>
        <v>21935.211730659252</v>
      </c>
      <c r="U30" s="97" t="s">
        <v>254</v>
      </c>
      <c r="V30" s="97">
        <f>EXP(V29)</f>
        <v>4191.7763263856386</v>
      </c>
    </row>
    <row r="31" spans="1:26">
      <c r="A31" s="95" t="s">
        <v>500</v>
      </c>
      <c r="D31" s="95"/>
      <c r="E31" s="95"/>
      <c r="F31" s="95"/>
      <c r="G31" s="95"/>
      <c r="I31" s="243">
        <f>ROUND(Q37,3)</f>
        <v>5.8999999999999997E-2</v>
      </c>
      <c r="J31" s="243"/>
      <c r="K31" s="243">
        <f>ROUND(X37,3)</f>
        <v>5.8999999999999997E-2</v>
      </c>
      <c r="L31" s="243"/>
      <c r="M31" s="95"/>
    </row>
    <row r="32" spans="1:26">
      <c r="A32" s="106"/>
      <c r="D32" s="95"/>
      <c r="E32" s="95"/>
      <c r="F32" s="95"/>
      <c r="G32" s="95"/>
      <c r="I32" s="245"/>
      <c r="J32" s="245"/>
      <c r="M32" s="95"/>
      <c r="N32" s="97" t="s">
        <v>255</v>
      </c>
      <c r="O32" s="97">
        <f>((Q35*Q26)-(N26*P26))/(Q35*R26-N26^2)</f>
        <v>1.4413170344138511E-2</v>
      </c>
      <c r="U32" s="97" t="s">
        <v>255</v>
      </c>
      <c r="V32" s="97">
        <f>((X35*X26)-(U26*W26))/(X35*Y26-U26^2)</f>
        <v>1.4345980843827823E-2</v>
      </c>
    </row>
    <row r="33" spans="1:24">
      <c r="A33" s="95"/>
      <c r="D33" s="95"/>
      <c r="E33" s="95"/>
      <c r="F33" s="95"/>
      <c r="G33" s="95"/>
      <c r="I33" s="246"/>
      <c r="J33" s="246"/>
      <c r="K33" s="95"/>
      <c r="L33" s="95"/>
      <c r="M33" s="95"/>
      <c r="N33" s="97" t="s">
        <v>256</v>
      </c>
      <c r="O33" s="97">
        <f>EXP(O32)</f>
        <v>1.0145175409179235</v>
      </c>
      <c r="U33" s="97" t="s">
        <v>256</v>
      </c>
      <c r="V33" s="97">
        <f>EXP(V32)</f>
        <v>1.0144493782812249</v>
      </c>
    </row>
    <row r="34" spans="1:24">
      <c r="A34" s="95" t="s">
        <v>501</v>
      </c>
      <c r="D34" s="95"/>
      <c r="E34" s="95"/>
      <c r="F34" s="95"/>
      <c r="G34" s="95"/>
      <c r="I34" s="246"/>
      <c r="J34" s="246"/>
      <c r="K34" s="95"/>
      <c r="L34" s="95"/>
      <c r="M34" s="95"/>
    </row>
    <row r="35" spans="1:24">
      <c r="A35" s="95" t="s">
        <v>502</v>
      </c>
      <c r="D35" s="95"/>
      <c r="E35" s="95"/>
      <c r="F35" s="95"/>
      <c r="G35" s="95"/>
      <c r="I35" s="244">
        <v>0</v>
      </c>
      <c r="J35" s="244"/>
      <c r="K35" s="244">
        <v>0</v>
      </c>
      <c r="L35" s="244"/>
      <c r="M35" s="95"/>
      <c r="N35" s="97" t="s">
        <v>257</v>
      </c>
      <c r="Q35" s="97">
        <v>12</v>
      </c>
      <c r="U35" s="97" t="s">
        <v>257</v>
      </c>
      <c r="X35" s="97">
        <v>12</v>
      </c>
    </row>
    <row r="36" spans="1:24">
      <c r="A36" s="95"/>
      <c r="D36" s="95"/>
      <c r="E36" s="95"/>
      <c r="F36" s="95"/>
      <c r="G36" s="95"/>
      <c r="I36" s="246"/>
      <c r="J36" s="246"/>
      <c r="K36" s="95"/>
      <c r="L36" s="95"/>
      <c r="M36" s="95"/>
      <c r="N36" s="97" t="s">
        <v>258</v>
      </c>
      <c r="Q36" s="97">
        <v>4</v>
      </c>
      <c r="U36" s="97" t="s">
        <v>258</v>
      </c>
      <c r="X36" s="97">
        <v>4</v>
      </c>
    </row>
    <row r="37" spans="1:24">
      <c r="A37" s="95" t="s">
        <v>503</v>
      </c>
      <c r="D37" s="95"/>
      <c r="E37" s="95"/>
      <c r="F37" s="95"/>
      <c r="G37" s="95"/>
      <c r="I37" s="246"/>
      <c r="J37" s="246"/>
      <c r="K37" s="95"/>
      <c r="L37" s="95"/>
      <c r="M37" s="95"/>
      <c r="N37" s="97" t="s">
        <v>259</v>
      </c>
      <c r="Q37" s="123">
        <f>((O33^Q36)-1)</f>
        <v>5.9347000866163624E-2</v>
      </c>
      <c r="U37" s="97" t="s">
        <v>259</v>
      </c>
      <c r="X37" s="123">
        <f>((V33^X36)-1)</f>
        <v>5.9062331138934221E-2</v>
      </c>
    </row>
    <row r="38" spans="1:24">
      <c r="A38" s="105" t="s">
        <v>504</v>
      </c>
      <c r="I38" s="243">
        <f>ROUND(((1+I31)*(1+I35))-1,3)</f>
        <v>5.8999999999999997E-2</v>
      </c>
      <c r="J38" s="243"/>
      <c r="K38" s="243">
        <f>ROUND(((1+K31)*(1+K35))-1,3)</f>
        <v>5.8999999999999997E-2</v>
      </c>
      <c r="L38" s="243"/>
      <c r="M38" s="95"/>
    </row>
    <row r="39" spans="1:24">
      <c r="A39" s="101"/>
      <c r="M39" s="95"/>
    </row>
    <row r="40" spans="1:24">
      <c r="I40" s="272"/>
      <c r="J40" s="272"/>
      <c r="K40" s="272"/>
      <c r="M40" s="95"/>
    </row>
    <row r="41" spans="1:24">
      <c r="A41" s="105" t="s">
        <v>235</v>
      </c>
      <c r="M41" s="95"/>
    </row>
    <row r="42" spans="1:24">
      <c r="I42" s="272"/>
      <c r="J42" s="272"/>
      <c r="K42" s="272"/>
      <c r="M42" s="95"/>
    </row>
    <row r="43" spans="1:24">
      <c r="M43" s="95"/>
    </row>
    <row r="44" spans="1:24">
      <c r="M44" s="95"/>
    </row>
  </sheetData>
  <mergeCells count="13">
    <mergeCell ref="I42:K42"/>
    <mergeCell ref="I40:K40"/>
    <mergeCell ref="C10:D10"/>
    <mergeCell ref="I10:K10"/>
    <mergeCell ref="C12:C13"/>
    <mergeCell ref="I12:I13"/>
    <mergeCell ref="K12:K13"/>
    <mergeCell ref="E1:K1"/>
    <mergeCell ref="E2:L2"/>
    <mergeCell ref="E3:K3"/>
    <mergeCell ref="E5:K5"/>
    <mergeCell ref="C9:D9"/>
    <mergeCell ref="I9:K9"/>
  </mergeCells>
  <pageMargins left="0.7" right="0.7" top="0.75" bottom="0.75" header="0.3" footer="0.3"/>
  <pageSetup scale="83" fitToWidth="0" fitToHeight="0" orientation="portrait" useFirstPageNumber="1" r:id="rId1"/>
  <headerFooter>
    <oddHeader>&amp;R&amp;"Times New Roman,Regular"Page &amp;P of 1</oddHeader>
    <oddFooter>&amp;L&amp;"Times New Roman,Regular"© Insurance Services Office, Inc., 2021&amp;C&amp;"Times New Roman,Regular"Maine CA-2021-RZRLC&amp;R&amp;"Times New Roman,Regular"&amp;A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6cb21c06403990b1ac95e0cafe22de16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84039c5ac03fd9a8c3acd42fb491eab1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LI-CA-2021-169 - 003 - Filing Exhibits.xlsx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i70498</AuthorId>
    <CircularDocDescription xmlns="a86cc342-0045-41e2-80e9-abdb777d2eca">Filing Exhibits</CircularDocDescription>
    <Date_x0020_Modified xmlns="a86cc342-0045-41e2-80e9-abdb777d2eca">2021-05-20T04:00:00+00:00</Date_x0020_Modified>
    <CircularDate xmlns="a86cc342-0045-41e2-80e9-abdb777d2eca">2021-06-03T04:00:00+00:00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This circular announces the submission of revised commercial auto zone-rated loss costs in Maine.</KeyMessage>
    <CircularNumber xmlns="a86cc342-0045-41e2-80e9-abdb777d2eca">LI-CA-2021-169</CircularNumber>
    <AttachmentType xmlns="a86cc342-0045-41e2-80e9-abdb777d2eca">Excel Filing Exhibits</AttachmentType>
    <ActionTopic xmlns="a86cc342-0045-41e2-80e9-abdb777d2eca">7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Barila, Vincent</AuthorName>
    <Sequence xmlns="a86cc342-0045-41e2-80e9-abdb777d2eca">2</Sequence>
    <ServiceModuleString xmlns="a86cc342-0045-41e2-80e9-abdb777d2eca">Loss Costs;</ServiceModuleString>
    <CircId xmlns="a86cc342-0045-41e2-80e9-abdb777d2eca">32767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MAINE REVISED LOSS COSTS FOR ZONE-RATED COVERAGES FILED</CircularTitle>
    <Jurs xmlns="a86cc342-0045-41e2-80e9-abdb777d2eca">
      <Value>21</Value>
    </Jurs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A11F8D-2D35-4386-B1BC-1C9CFBBBA266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55D511FD-FDB5-4634-9FBD-1EE0ADF0F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User Notes</vt:lpstr>
      <vt:lpstr>DZ_FACTORS</vt:lpstr>
      <vt:lpstr>EXHIBIT A1</vt:lpstr>
      <vt:lpstr>EXHIBIT A2</vt:lpstr>
      <vt:lpstr>EXHIBIT A3</vt:lpstr>
      <vt:lpstr>EXHIBIT B1</vt:lpstr>
      <vt:lpstr>EXHIBIT B2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'EXHIBIT A1'!Print_Area</vt:lpstr>
      <vt:lpstr>'EXHIBIT B1'!Print_Area</vt:lpstr>
      <vt:lpstr>'EXHIBIT B2'!Print_Area</vt:lpstr>
      <vt:lpstr>'EXHIBIT C1'!Print_Area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C9'!Print_Area</vt:lpstr>
      <vt:lpstr>'User Notes'!Print_Area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Gordon, Rebecca</cp:lastModifiedBy>
  <cp:lastPrinted>2021-04-27T19:24:40Z</cp:lastPrinted>
  <dcterms:created xsi:type="dcterms:W3CDTF">2014-11-05T19:22:56Z</dcterms:created>
  <dcterms:modified xsi:type="dcterms:W3CDTF">2021-05-20T15:08:22Z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0x0101002A7B4D783DF0499AA9CFFB0BDFDF2D2C00B742AC3165F72545976B399ED8B6337E</vt:lpwstr>
  </property>
  <property fmtid="{D5CDD505-2E9C-101B-9397-08002B2CF9AE}" pid="11" name="_docset_NoMedatataSyncRequired">
    <vt:lpwstr>False</vt:lpwstr>
  </property>
</Properties>
</file>