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IPAS_Actuarial\Actuarial Operations\BOP\21 Group 3\Filing Format\OR\"/>
    </mc:Choice>
  </mc:AlternateContent>
  <xr:revisionPtr revIDLastSave="0" documentId="13_ncr:1_{989418B1-F348-4474-BB35-42BA6E7E5952}" xr6:coauthVersionLast="46" xr6:coauthVersionMax="46" xr10:uidLastSave="{00000000-0000-0000-0000-000000000000}"/>
  <bookViews>
    <workbookView xWindow="6533" yWindow="368" windowWidth="15337" windowHeight="13665" xr2:uid="{455EB439-845C-48FE-93DB-5CB159D4EAD9}"/>
  </bookViews>
  <sheets>
    <sheet name="User Notes" sheetId="2" r:id="rId1"/>
    <sheet name="DZ_INPUTS" sheetId="3" r:id="rId2"/>
    <sheet name="EXHIBIT A1" sheetId="4" r:id="rId3"/>
    <sheet name="EXHIBIT A2-1" sheetId="5" r:id="rId4"/>
    <sheet name="EXHIBIT A2-2" sheetId="6" r:id="rId5"/>
    <sheet name="EXHIBIT A2-3" sheetId="7" r:id="rId6"/>
    <sheet name="EXHIBIT A3" sheetId="8" r:id="rId7"/>
    <sheet name="EXHIBIT B1-1" sheetId="9" r:id="rId8"/>
    <sheet name="EXHIBIT B1-2" sheetId="10" r:id="rId9"/>
    <sheet name="EXHIBIT B1-3" sheetId="11" r:id="rId10"/>
    <sheet name="EXHIBIT B1-4" sheetId="12" r:id="rId11"/>
    <sheet name="EXHIBIT B2-1" sheetId="13" r:id="rId12"/>
    <sheet name="EXHIBIT B2-2" sheetId="14" r:id="rId13"/>
    <sheet name="EXHIBIT B3" sheetId="15" r:id="rId14"/>
    <sheet name="EXHIBIT C1" sheetId="16" r:id="rId15"/>
    <sheet name="EXHIBIT C2" sheetId="17" r:id="rId16"/>
    <sheet name="EXHIBIT C3" sheetId="18" r:id="rId17"/>
    <sheet name="EXHIBIT C4-1" sheetId="19" r:id="rId18"/>
    <sheet name="EXHIBIT C4-2" sheetId="20" r:id="rId19"/>
    <sheet name="EXHIBIT C4-3" sheetId="21" r:id="rId20"/>
    <sheet name="EXHIBIT C4-4" sheetId="22" r:id="rId21"/>
    <sheet name="EXHIBIT C4-5" sheetId="23" r:id="rId22"/>
    <sheet name="EXHIBIT C4-6" sheetId="24" r:id="rId23"/>
    <sheet name="EXHIBIT C4-7" sheetId="25" r:id="rId24"/>
    <sheet name="EXHIBIT C5" sheetId="26" r:id="rId25"/>
    <sheet name="EXHIBIT C6" sheetId="27" r:id="rId26"/>
    <sheet name="EXHIBIT C7-1" sheetId="28" r:id="rId27"/>
    <sheet name="EXHIBIT C7-2" sheetId="29" r:id="rId28"/>
    <sheet name="EXHIBIT C7-3" sheetId="30" r:id="rId29"/>
    <sheet name="EXHIBIT C7-4" sheetId="31" r:id="rId30"/>
    <sheet name="EXHIBIT C8-1" sheetId="32" r:id="rId31"/>
    <sheet name="EXHIBIT C8-2" sheetId="33" r:id="rId32"/>
    <sheet name="EXHIBIT C8-3" sheetId="34" r:id="rId33"/>
    <sheet name="EXHIBIT C8-4" sheetId="35" r:id="rId34"/>
    <sheet name="EXHIBIT C9" sheetId="36" r:id="rId35"/>
    <sheet name="EXHIBIT C10" sheetId="37" r:id="rId36"/>
    <sheet name="EXHIBIT C11-1" sheetId="38" r:id="rId37"/>
    <sheet name="EXHIBIT C11-2" sheetId="39" r:id="rId38"/>
    <sheet name="EXHIBIT C11-3" sheetId="40" r:id="rId39"/>
    <sheet name="EXHIBIT D1" sheetId="41" r:id="rId40"/>
  </sheets>
  <definedNames>
    <definedName name="_A21CapFootnote">'EXHIBIT A2-1'!$B$37</definedName>
    <definedName name="_A22CapFootnote">'EXHIBIT A2-2'!$B$37</definedName>
    <definedName name="_A3LiabTerrs">'EXHIBIT A3'!$A$27:$A$28</definedName>
    <definedName name="_A3PropTerrs">'EXHIBIT A3'!$A$19:$A$20</definedName>
    <definedName name="_A3SPTerrs">'EXHIBIT A3'!$A$34:$A$35</definedName>
    <definedName name="_AOPER">'EXHIBIT B1-1'!$L$16:$L$20</definedName>
    <definedName name="_aopXSEarnedPrem">'EXHIBIT C6'!$D$13:$D$42</definedName>
    <definedName name="_aopXSIncLoss">'EXHIBIT C6'!$E$13:$E$42</definedName>
    <definedName name="_aopXSLR">'EXHIBIT C6'!$H$13:$H$42</definedName>
    <definedName name="_aopXSNormalLoss">'EXHIBIT C6'!$F$13:$F$42</definedName>
    <definedName name="_aopXSNormalLR">'EXHIBIT C6'!$G$13:$G$42</definedName>
    <definedName name="_aopXSyears">'EXHIBIT C6'!$B$13:$B$42</definedName>
    <definedName name="_BC1AOPTot">'EXHIBIT B3'!$C$17</definedName>
    <definedName name="_BC1CapInd">'EXHIBIT A2-1'!$I$14:$I$15</definedName>
    <definedName name="_BC1CurrentHurrLC">#REF!</definedName>
    <definedName name="_BC1CurrentHurrLCProp0">#REF!</definedName>
    <definedName name="_BC1ECTot">'EXHIBIT B3'!$C$16</definedName>
    <definedName name="_BC1FireTot">'EXHIBIT B3'!$C$15</definedName>
    <definedName name="_BC1LCchange">'EXHIBIT A2-1'!$H$14:$H$15</definedName>
    <definedName name="_BC1LCCL">'EXHIBIT A2-1'!$E$14:$E$15</definedName>
    <definedName name="_BC1PresentLC">'EXHIBIT A3'!$C$19:$C$20</definedName>
    <definedName name="_BC1RevisedHurrLC">#REF!</definedName>
    <definedName name="_BC1RevisedLC">'EXHIBIT A3'!$J$19:$J$20</definedName>
    <definedName name="_BC1Terrs">'EXHIBIT A2-1'!$B$14:$B$15</definedName>
    <definedName name="_BC2AOPTot">'EXHIBIT B3'!$F$17</definedName>
    <definedName name="_BC2BurgTot">'EXHIBIT B3'!$F$18</definedName>
    <definedName name="_BC2CapInd">'EXHIBIT A2-1'!$I$23:$I$24</definedName>
    <definedName name="_BC2CurrentHurrLC">#REF!</definedName>
    <definedName name="_BC2CurrentHurrLCProp0">#REF!</definedName>
    <definedName name="_BC2ECTot">'EXHIBIT B3'!$F$16</definedName>
    <definedName name="_BC2FireTot">'EXHIBIT B3'!$F$15</definedName>
    <definedName name="_BC2LCchange">'EXHIBIT A2-1'!$H$23:$H$24</definedName>
    <definedName name="_BC2LCCL">'EXHIBIT A2-1'!$E$23:$E$24</definedName>
    <definedName name="_BC2PresentLC">'EXHIBIT A3'!$E$19:$E$20</definedName>
    <definedName name="_BC2RevisedHurrLC">#REF!</definedName>
    <definedName name="_BC2RevisedLC">'EXHIBIT A3'!$L$19:$L$20</definedName>
    <definedName name="_BC2Terrs">'EXHIBIT A2-1'!$B$23:$B$24</definedName>
    <definedName name="_BC3CapInd">'EXHIBIT A2-2'!$I$14:$I$15</definedName>
    <definedName name="_BC3LCchange">'EXHIBIT A2-2'!$H$14:$H$15</definedName>
    <definedName name="_BC3LCCL">'EXHIBIT A2-2'!$E$14:$E$15</definedName>
    <definedName name="_BC3LiabTot">'EXHIBIT B3'!$C$25</definedName>
    <definedName name="_BC3PresentLC">'EXHIBIT A3'!$C$27:$C$28</definedName>
    <definedName name="_BC3RevisedLC">'EXHIBIT A3'!$J$27:$J$28</definedName>
    <definedName name="_BC3Terrs">'EXHIBIT A2-2'!$B$14:$B$15</definedName>
    <definedName name="_BC4CapInd">'EXHIBIT A2-2'!$I$23:$I$24</definedName>
    <definedName name="_BC4LCchange">'EXHIBIT A2-2'!$H$23:$H$24</definedName>
    <definedName name="_BC4LCCL">'EXHIBIT A2-2'!$E$23:$E$24</definedName>
    <definedName name="_BC4LiabTot">'EXHIBIT B3'!$C$26</definedName>
    <definedName name="_BC4PresentLC">'EXHIBIT A3'!$E$27:$E$28</definedName>
    <definedName name="_BC4RevisedLC">'EXHIBIT A3'!$L$27:$L$28</definedName>
    <definedName name="_BC4Terrs">'EXHIBIT A2-2'!$B$23:$B$24</definedName>
    <definedName name="_BCLCchange">'EXHIBIT A2-2'!$H$14:$H$15</definedName>
    <definedName name="_BurgER">'EXHIBIT B1-1'!$K$16:$K$20</definedName>
    <definedName name="_dorcBC1BalanceBailey">'EXHIBIT B2-1'!$J$23</definedName>
    <definedName name="_dorcBC1BalanceChg">'EXHIBIT B2-1'!$P$23</definedName>
    <definedName name="_dorcBC1EarnedRisk">'EXHIBIT B2-1'!$L$23</definedName>
    <definedName name="_dorcBC1FinalChg">'EXHIBIT B2-1'!$Q$23</definedName>
    <definedName name="_dorcBC1LCCL">'EXHIBIT B2-1'!$B$23</definedName>
    <definedName name="_dorcBC1Loss">'EXHIBIT B2-1'!$D$23</definedName>
    <definedName name="_dorcBC2BalanceBailey">'EXHIBIT B2-1'!$J$24</definedName>
    <definedName name="_dorcBC2BalanceChg">'EXHIBIT B2-1'!$P$24</definedName>
    <definedName name="_dorcBC2EarnedRisk">'EXHIBIT B2-1'!$L$24</definedName>
    <definedName name="_dorcBC2FinalChg">'EXHIBIT B2-1'!$Q$24</definedName>
    <definedName name="_dorcBC2LCCL">'EXHIBIT B2-1'!$B$24</definedName>
    <definedName name="_dorcBC2Loss">'EXHIBIT B2-1'!$D$24</definedName>
    <definedName name="_dorcBC3BalanceBailey">'EXHIBIT B2-2'!$J$23</definedName>
    <definedName name="_dorcBC3BalanceChg">'EXHIBIT B2-2'!$P$23</definedName>
    <definedName name="_dorcBC3EarnedRisk">'EXHIBIT B2-2'!$L$23</definedName>
    <definedName name="_dorcBC3FinalChg">'EXHIBIT B2-2'!$Q$23</definedName>
    <definedName name="_dorcBC3LCCL">'EXHIBIT B2-2'!$B$23</definedName>
    <definedName name="_dorcBC3Loss">'EXHIBIT B2-2'!$D$23</definedName>
    <definedName name="_dorcBC4BalanceBailey">'EXHIBIT B2-2'!$J$24</definedName>
    <definedName name="_dorcBC4BalanceChg">'EXHIBIT B2-2'!$P$24</definedName>
    <definedName name="_dorcBC4EarnedRisk">'EXHIBIT B2-2'!$L$24</definedName>
    <definedName name="_dorcBC4FinalChg">'EXHIBIT B2-2'!$Q$24</definedName>
    <definedName name="_dorcBC4LCCL">'EXHIBIT B2-2'!$B$24</definedName>
    <definedName name="_dorcBC4Loss">'EXHIBIT B2-2'!$D$24</definedName>
    <definedName name="_ECER">'EXHIBIT B1-1'!$J$16:$J$20</definedName>
    <definedName name="_ecXSEarnedPrem">'EXHIBIT C5'!$D$13:$D$42</definedName>
    <definedName name="_ecXSIncLoss">'EXHIBIT C5'!$E$13:$E$42</definedName>
    <definedName name="_ecXSLR">'EXHIBIT C5'!$H$13:$H$42</definedName>
    <definedName name="_ecXSNormalLoss">'EXHIBIT C5'!$F$13:$F$42</definedName>
    <definedName name="_ecXSNormalLR">'EXHIBIT C5'!$G$13:$G$42</definedName>
    <definedName name="_ecXSRegionLR">'EXHIBIT C5'!$I$13:$I$42</definedName>
    <definedName name="_ecXSRegionXSComp">'EXHIBIT C5'!$H$48</definedName>
    <definedName name="_ecXSyears">'EXHIBIT C5'!$B$13:$B$42</definedName>
    <definedName name="_xlnm._FilterDatabase" localSheetId="3" hidden="1">'EXHIBIT A2-1'!$B$23:$B$24</definedName>
    <definedName name="_FireER">'EXHIBIT B1-1'!$I$16:$I$20</definedName>
    <definedName name="_LiabDorcBalanceBailey">'EXHIBIT B2-2'!$J$17:$J$18</definedName>
    <definedName name="_liabDorcBalanceChg">'EXHIBIT B2-2'!$P$17:$P$18</definedName>
    <definedName name="_liabDorcEarnedRisk">'EXHIBIT B2-2'!$L$17:$L$18</definedName>
    <definedName name="_liabDorcFinalChg">'EXHIBIT B2-2'!$Q$17:$Q$18</definedName>
    <definedName name="_liabDorcLCCL">'EXHIBIT B2-2'!$B$17:$B$18</definedName>
    <definedName name="_LiabDorcLoss">'EXHIBIT B2-2'!$D$17:$D$18</definedName>
    <definedName name="_LiabDorcTerrs">'EXHIBIT B2-2'!$A$17:$A$18</definedName>
    <definedName name="_LiabEarnedRisk">'EXHIBIT C10'!$D$17</definedName>
    <definedName name="_LiabLCCL">'EXHIBIT B1-2'!$D$16:$D$20</definedName>
    <definedName name="_LiabLoss">'EXHIBIT B1-2'!$G$16:$G$20</definedName>
    <definedName name="_liabTerrs">'EXHIBIT A2-2'!$B$32:$B$33</definedName>
    <definedName name="_PayrollPresentLC">'EXHIBIT A3'!$E$34:$E$35</definedName>
    <definedName name="_PayrollRevisedLC">'EXHIBIT A3'!$L$34:$L$35</definedName>
    <definedName name="_PropDorcBalanceBailey">'EXHIBIT B2-1'!$J$17:$J$18</definedName>
    <definedName name="_PropDorcBalanceChg">'EXHIBIT B2-1'!$P$17:$P$18</definedName>
    <definedName name="_PropDorcEarnedRisk">'EXHIBIT B2-1'!$L$17:$L$18</definedName>
    <definedName name="_PropDorcFinalChg">'EXHIBIT B2-1'!$Q$17:$Q$18</definedName>
    <definedName name="_PropDorcLCCL">'EXHIBIT B2-1'!$B$17:$B$18</definedName>
    <definedName name="_PropDorcLoss">'EXHIBIT B2-1'!$D$17:$D$18</definedName>
    <definedName name="_propDorcTerrs">'EXHIBIT B2-1'!$A$17:$A$18</definedName>
    <definedName name="_PropEarnedRisk">'EXHIBIT C10'!$C$17</definedName>
    <definedName name="_PropLCCL">'EXHIBIT B1-1'!$D$16:$D$20</definedName>
    <definedName name="_PropLoss">'EXHIBIT B1-1'!$F$16:$F$20</definedName>
    <definedName name="_PropTerrs">'EXHIBIT A2-1'!$B$32:$B$33</definedName>
    <definedName name="_SalesPresentLC">'EXHIBIT A3'!$C$34:$C$35</definedName>
    <definedName name="_SalesRevisedLC">'EXHIBIT A3'!$J$34:$J$35</definedName>
    <definedName name="_SecD1Terrs">'EXHIBIT D1'!$A$13:$A$14</definedName>
    <definedName name="_SecD1TotalLoss">'EXHIBIT D1'!$C$13:$C$14</definedName>
    <definedName name="_SecD1WHLoss">'EXHIBIT D1'!$D$13:$D$14</definedName>
    <definedName name="_SecD2BldgsPresent">#REF!</definedName>
    <definedName name="_SecD2BldgsRevised">#REF!</definedName>
    <definedName name="_SecD2ContsPresent">#REF!</definedName>
    <definedName name="_SecD2ContsRevised">#REF!</definedName>
    <definedName name="_SecD2Terrs">#REF!</definedName>
    <definedName name="_SecD2TerrsProp0">#REF!</definedName>
    <definedName name="_SecD2TerrsWH">#REF!</definedName>
    <definedName name="_SecDTotal">'EXHIBIT D1'!$C$13:$C$14</definedName>
    <definedName name="credFile">#REF!</definedName>
    <definedName name="curCredFile">#REF!</definedName>
    <definedName name="curExtTrFile">#REF!</definedName>
    <definedName name="curGroup">#REF!</definedName>
    <definedName name="curIntTrFile">#REF!</definedName>
    <definedName name="curLAEFile">#REF!</definedName>
    <definedName name="curLDFFile">#REF!</definedName>
    <definedName name="curLDFTab">#REF!</definedName>
    <definedName name="curSPFile">#REF!</definedName>
    <definedName name="curState">#REF!</definedName>
    <definedName name="curStFile">#REF!</definedName>
    <definedName name="curYear">#REF!</definedName>
    <definedName name="dates12">OFFSET(#REF!,0,0,COUNTA(#REF!),5)</definedName>
    <definedName name="dorcLiab">#REF!</definedName>
    <definedName name="dorcProp">#REF!</definedName>
    <definedName name="ExtTrFile">#REF!</definedName>
    <definedName name="filingID">#REF!</definedName>
    <definedName name="IntTrFile">#REF!</definedName>
    <definedName name="LAEFile">#REF!</definedName>
    <definedName name="LCliabCSV">#REF!</definedName>
    <definedName name="lcPropCSV">#REF!</definedName>
    <definedName name="LDFile">#REF!</definedName>
    <definedName name="LessorIndChange">'EXHIBIT B1-2'!$J$31</definedName>
    <definedName name="LessorSWLCChange">'EXHIBIT A2-2'!$H$35</definedName>
    <definedName name="LessorSWlyLCCL">'EXHIBIT A2-2'!$E$35</definedName>
    <definedName name="LiabEarnedRisk">'EXHIBIT C10'!$D$17</definedName>
    <definedName name="liabSel0Ind">#REF!</definedName>
    <definedName name="liabSWRLCap">#REF!</definedName>
    <definedName name="liabTerrCap">#REF!</definedName>
    <definedName name="newCredFile">#REF!</definedName>
    <definedName name="newExtTrFile">#REF!</definedName>
    <definedName name="newFoot">#REF!</definedName>
    <definedName name="newGroup">#REF!</definedName>
    <definedName name="newIntTrFile">#REF!</definedName>
    <definedName name="newLAEFile">#REF!</definedName>
    <definedName name="newLDFFile">#REF!</definedName>
    <definedName name="newLDFTab">#REF!</definedName>
    <definedName name="newSPFile">#REF!</definedName>
    <definedName name="newState">#REF!</definedName>
    <definedName name="newStFile">#REF!</definedName>
    <definedName name="newYear">#REF!</definedName>
    <definedName name="PayrollIndChange">'EXHIBIT B1-4'!$J$32</definedName>
    <definedName name="PayrollSWLCChange">'EXHIBIT A2-3'!$J$27</definedName>
    <definedName name="PayrollSWLCCL">'EXHIBIT A2-3'!$D$27</definedName>
    <definedName name="PPIdata" localSheetId="14">OFFSET(#REF!,0,0,COUNTA(#REF!),5)</definedName>
    <definedName name="PPIdata">OFFSET(#REF!,0,0,COUNTA(#REF!),5)</definedName>
    <definedName name="PPIdata1" localSheetId="14">OFFSET(#REF!,0,0,COUNTA(#REF!),5)</definedName>
    <definedName name="PPIdata1">OFFSET(#REF!,0,0,COUNTA(#REF!),5)</definedName>
    <definedName name="_xlnm.Print_Area" localSheetId="7">'EXHIBIT B1-1'!$A:$L</definedName>
    <definedName name="_xlnm.Print_Area" localSheetId="8">'EXHIBIT B1-2'!$A$1:$J$37</definedName>
    <definedName name="_xlnm.Print_Area" localSheetId="9">'EXHIBIT B1-3'!$A$1:$J$38</definedName>
    <definedName name="_xlnm.Print_Area" localSheetId="10">'EXHIBIT B1-4'!$A$1:$J$38</definedName>
    <definedName name="_xlnm.Print_Area" localSheetId="13">'EXHIBIT B3'!$A$1:$I$60</definedName>
    <definedName name="_xlnm.Print_Area" localSheetId="15">'EXHIBIT C2'!$A$1:$J$53</definedName>
    <definedName name="_xlnm.Print_Area" localSheetId="16">'EXHIBIT C3'!$A$1:$S$50</definedName>
    <definedName name="_xlnm.Print_Area" localSheetId="19">'EXHIBIT C4-3'!$A$1:$F$46</definedName>
    <definedName name="_xlnm.Print_Area" localSheetId="20">'EXHIBIT C4-4'!$A$1:$F$46</definedName>
    <definedName name="_xlnm.Print_Area" localSheetId="21">'EXHIBIT C4-5'!$A$1:$F$46</definedName>
    <definedName name="_xlnm.Print_Area" localSheetId="22">'EXHIBIT C4-6'!$A$1:$F$46</definedName>
    <definedName name="_xlnm.Print_Area" localSheetId="23">'EXHIBIT C4-7'!$A$1:$H$48</definedName>
    <definedName name="_xlnm.Print_Area" localSheetId="24">'EXHIBIT C5'!$B$1:$I$55</definedName>
    <definedName name="_xlnm.Print_Area" localSheetId="25">'EXHIBIT C6'!$B$1:$H$50</definedName>
    <definedName name="_xlnm.Print_Area" localSheetId="26">'EXHIBIT C7-1'!$A$1:$H$48</definedName>
    <definedName name="_xlnm.Print_Area" localSheetId="27">'EXHIBIT C7-2'!$A$1:$H$48</definedName>
    <definedName name="_xlnm.Print_Area" localSheetId="30">'EXHIBIT C8-1'!$A:$G</definedName>
    <definedName name="_xlnm.Print_Area" localSheetId="31">'EXHIBIT C8-2'!$A$2:$L$47</definedName>
    <definedName name="_xlnm.Print_Area" localSheetId="32">'EXHIBIT C8-3'!$A$2:$L$47</definedName>
    <definedName name="_xlnm.Print_Area" localSheetId="33">'EXHIBIT C8-4'!$A$2:$L$47</definedName>
    <definedName name="_xlnm.Print_Area" localSheetId="34">'EXHIBIT C9'!$A$1:$G$52</definedName>
    <definedName name="PropIndChange">'EXHIBIT B1-1'!$K$31</definedName>
    <definedName name="propSel0Ind">#REF!</definedName>
    <definedName name="PropSW5lyLCCL">'EXHIBIT A2-1'!$E$35</definedName>
    <definedName name="PropSWLCChange">'EXHIBIT A2-1'!$H$35</definedName>
    <definedName name="PropSWLCLevelChange">'EXHIBIT A2-1'!$H$35</definedName>
    <definedName name="propSWRLCap">#REF!</definedName>
    <definedName name="propTerrCap">#REF!</definedName>
    <definedName name="PropTotSWlyLCCL">'EXHIBIT A2-1'!$E$35</definedName>
    <definedName name="ReviewCall">#REF!</definedName>
    <definedName name="SalesIndChange">'EXHIBIT B1-3'!$J$32</definedName>
    <definedName name="SalesSWLCChange">'EXHIBIT A2-3'!$G$17</definedName>
    <definedName name="SalesSWLCCL">'EXHIBIT A2-3'!$D$17</definedName>
    <definedName name="SPFile">#REF!</definedName>
    <definedName name="state">DZ_INPUTS!$B$1</definedName>
    <definedName name="stateFile">#REF!</definedName>
    <definedName name="StNum">#REF!</definedName>
    <definedName name="STxxCovFile">#REF!</definedName>
    <definedName name="XactwareData" localSheetId="14">OFFSET(#REF!,0,0,COUNTA(#REF!),5)</definedName>
    <definedName name="XactwareData">OFFSET(#REF!,0,0,COUNTA(#REF!),5)</definedName>
    <definedName name="XactwareData1" localSheetId="14">OFFSET(#REF!,0,0,COUNTA(#REF!),5)</definedName>
    <definedName name="XactwareData1">OFFSET(#REF!,0,0,COUNTA(#REF!),5)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41" l="1"/>
  <c r="E14" i="41"/>
  <c r="E13" i="41"/>
  <c r="C36" i="40" l="1"/>
  <c r="C35" i="40" s="1"/>
  <c r="C34" i="40" s="1"/>
  <c r="C33" i="40" s="1"/>
  <c r="C32" i="40" s="1"/>
  <c r="C31" i="40" s="1"/>
  <c r="C30" i="40" s="1"/>
  <c r="C29" i="40" s="1"/>
  <c r="C28" i="40" s="1"/>
  <c r="C27" i="40" s="1"/>
  <c r="F21" i="40"/>
  <c r="E21" i="40"/>
  <c r="D21" i="40"/>
  <c r="C21" i="40"/>
  <c r="G21" i="40"/>
  <c r="A1" i="40"/>
  <c r="G30" i="39"/>
  <c r="F30" i="39"/>
  <c r="C30" i="39"/>
  <c r="G26" i="39"/>
  <c r="F26" i="39"/>
  <c r="E26" i="39"/>
  <c r="C26" i="39"/>
  <c r="A1" i="39"/>
  <c r="G28" i="38"/>
  <c r="C28" i="38"/>
  <c r="E24" i="38"/>
  <c r="D24" i="38"/>
  <c r="C24" i="38"/>
  <c r="G19" i="38"/>
  <c r="F19" i="38"/>
  <c r="E19" i="38"/>
  <c r="D19" i="38"/>
  <c r="F15" i="38"/>
  <c r="G15" i="38"/>
  <c r="D15" i="38"/>
  <c r="A1" i="38"/>
  <c r="E16" i="37"/>
  <c r="D16" i="37"/>
  <c r="D18" i="37" s="1"/>
  <c r="H25" i="10" s="1"/>
  <c r="C16" i="37"/>
  <c r="C18" i="37" s="1"/>
  <c r="E13" i="37"/>
  <c r="D13" i="37"/>
  <c r="C13" i="37"/>
  <c r="A1" i="37"/>
  <c r="F47" i="36"/>
  <c r="F46" i="36"/>
  <c r="C46" i="36"/>
  <c r="D34" i="36"/>
  <c r="D33" i="36" s="1"/>
  <c r="D20" i="36"/>
  <c r="B1" i="36"/>
  <c r="G34" i="35"/>
  <c r="B41" i="35"/>
  <c r="C40" i="35"/>
  <c r="D39" i="35"/>
  <c r="C39" i="35"/>
  <c r="E38" i="35"/>
  <c r="C37" i="35"/>
  <c r="B37" i="35"/>
  <c r="F36" i="35"/>
  <c r="E36" i="35"/>
  <c r="D36" i="35"/>
  <c r="C36" i="35"/>
  <c r="G35" i="35"/>
  <c r="F35" i="35"/>
  <c r="E35" i="35"/>
  <c r="C35" i="35"/>
  <c r="B35" i="35"/>
  <c r="I34" i="35"/>
  <c r="H34" i="35"/>
  <c r="E34" i="35"/>
  <c r="D34" i="35"/>
  <c r="J33" i="35"/>
  <c r="G33" i="35"/>
  <c r="F33" i="35"/>
  <c r="C33" i="35"/>
  <c r="B33" i="35"/>
  <c r="I32" i="35"/>
  <c r="H32" i="35"/>
  <c r="E32" i="35"/>
  <c r="D32" i="35"/>
  <c r="C32" i="35"/>
  <c r="J31" i="35"/>
  <c r="G31" i="35"/>
  <c r="F31" i="35"/>
  <c r="E31" i="35"/>
  <c r="C31" i="35"/>
  <c r="B31" i="35"/>
  <c r="I30" i="35"/>
  <c r="H30" i="35"/>
  <c r="G30" i="35"/>
  <c r="E30" i="35"/>
  <c r="D30" i="35"/>
  <c r="J29" i="35"/>
  <c r="I29" i="35"/>
  <c r="G29" i="35"/>
  <c r="F29" i="35"/>
  <c r="C29" i="35"/>
  <c r="B29" i="35"/>
  <c r="I28" i="35"/>
  <c r="H28" i="35"/>
  <c r="E28" i="35"/>
  <c r="D28" i="35"/>
  <c r="C28" i="35"/>
  <c r="G34" i="34"/>
  <c r="E31" i="34"/>
  <c r="B41" i="34"/>
  <c r="C40" i="34"/>
  <c r="D39" i="34"/>
  <c r="C39" i="34"/>
  <c r="B39" i="34"/>
  <c r="E38" i="34"/>
  <c r="D38" i="34"/>
  <c r="F37" i="34"/>
  <c r="C37" i="34"/>
  <c r="B37" i="34"/>
  <c r="F36" i="34"/>
  <c r="E36" i="34"/>
  <c r="D36" i="34"/>
  <c r="C36" i="34"/>
  <c r="G35" i="34"/>
  <c r="F35" i="34"/>
  <c r="E35" i="34"/>
  <c r="C35" i="34"/>
  <c r="B35" i="34"/>
  <c r="I34" i="34"/>
  <c r="H34" i="34"/>
  <c r="E34" i="34"/>
  <c r="D34" i="34"/>
  <c r="J33" i="34"/>
  <c r="G33" i="34"/>
  <c r="F33" i="34"/>
  <c r="C33" i="34"/>
  <c r="B33" i="34"/>
  <c r="I32" i="34"/>
  <c r="H32" i="34"/>
  <c r="E32" i="34"/>
  <c r="D32" i="34"/>
  <c r="C32" i="34"/>
  <c r="J31" i="34"/>
  <c r="G31" i="34"/>
  <c r="F31" i="34"/>
  <c r="C31" i="34"/>
  <c r="B31" i="34"/>
  <c r="I30" i="34"/>
  <c r="H30" i="34"/>
  <c r="G30" i="34"/>
  <c r="E30" i="34"/>
  <c r="D30" i="34"/>
  <c r="J29" i="34"/>
  <c r="I29" i="34"/>
  <c r="G29" i="34"/>
  <c r="F29" i="34"/>
  <c r="C29" i="34"/>
  <c r="B29" i="34"/>
  <c r="I28" i="34"/>
  <c r="H28" i="34"/>
  <c r="E28" i="34"/>
  <c r="D28" i="34"/>
  <c r="C28" i="34"/>
  <c r="G34" i="33"/>
  <c r="E31" i="33"/>
  <c r="B41" i="33"/>
  <c r="C40" i="33"/>
  <c r="D39" i="33"/>
  <c r="C39" i="33"/>
  <c r="B39" i="33"/>
  <c r="E38" i="33"/>
  <c r="D38" i="33"/>
  <c r="F37" i="33"/>
  <c r="C37" i="33"/>
  <c r="B37" i="33"/>
  <c r="F36" i="33"/>
  <c r="E36" i="33"/>
  <c r="D36" i="33"/>
  <c r="C36" i="33"/>
  <c r="G35" i="33"/>
  <c r="F35" i="33"/>
  <c r="E35" i="33"/>
  <c r="C35" i="33"/>
  <c r="B35" i="33"/>
  <c r="I34" i="33"/>
  <c r="H34" i="33"/>
  <c r="E34" i="33"/>
  <c r="D34" i="33"/>
  <c r="J33" i="33"/>
  <c r="G33" i="33"/>
  <c r="F33" i="33"/>
  <c r="B33" i="33"/>
  <c r="I32" i="33"/>
  <c r="H32" i="33"/>
  <c r="D32" i="33"/>
  <c r="C32" i="33"/>
  <c r="J31" i="33"/>
  <c r="F31" i="33"/>
  <c r="C31" i="33"/>
  <c r="B31" i="33"/>
  <c r="H30" i="33"/>
  <c r="G30" i="33"/>
  <c r="E30" i="33"/>
  <c r="D30" i="33"/>
  <c r="J29" i="33"/>
  <c r="I29" i="33"/>
  <c r="G29" i="33"/>
  <c r="F29" i="33"/>
  <c r="B29" i="33"/>
  <c r="I28" i="33"/>
  <c r="H28" i="33"/>
  <c r="D28" i="33"/>
  <c r="C28" i="33"/>
  <c r="E27" i="32"/>
  <c r="F26" i="32"/>
  <c r="E26" i="32"/>
  <c r="E25" i="32"/>
  <c r="F34" i="32"/>
  <c r="E23" i="32"/>
  <c r="F21" i="32"/>
  <c r="F20" i="32"/>
  <c r="E19" i="32"/>
  <c r="F19" i="32"/>
  <c r="F18" i="32"/>
  <c r="E18" i="32"/>
  <c r="E17" i="32"/>
  <c r="E15" i="32"/>
  <c r="F14" i="32"/>
  <c r="A8" i="32"/>
  <c r="A1" i="32"/>
  <c r="H21" i="31"/>
  <c r="G20" i="31"/>
  <c r="F20" i="31"/>
  <c r="H19" i="31"/>
  <c r="G19" i="31"/>
  <c r="H18" i="31"/>
  <c r="G18" i="31"/>
  <c r="F17" i="31"/>
  <c r="H16" i="31"/>
  <c r="F16" i="31"/>
  <c r="G15" i="31"/>
  <c r="F15" i="31"/>
  <c r="H14" i="31"/>
  <c r="H13" i="31"/>
  <c r="G12" i="31"/>
  <c r="F12" i="31"/>
  <c r="A1" i="31"/>
  <c r="G21" i="30"/>
  <c r="F21" i="30"/>
  <c r="H20" i="30"/>
  <c r="G20" i="30"/>
  <c r="H19" i="30"/>
  <c r="G19" i="30"/>
  <c r="G18" i="30"/>
  <c r="F18" i="30"/>
  <c r="H17" i="30"/>
  <c r="G16" i="30"/>
  <c r="F16" i="30"/>
  <c r="H15" i="30"/>
  <c r="H14" i="30"/>
  <c r="G14" i="30"/>
  <c r="G13" i="30"/>
  <c r="F13" i="30"/>
  <c r="H12" i="30"/>
  <c r="G12" i="30"/>
  <c r="A1" i="30"/>
  <c r="H21" i="29"/>
  <c r="G21" i="29"/>
  <c r="H20" i="29"/>
  <c r="G20" i="29"/>
  <c r="F20" i="29"/>
  <c r="F19" i="29"/>
  <c r="H18" i="29"/>
  <c r="G17" i="29"/>
  <c r="F17" i="29"/>
  <c r="H16" i="29"/>
  <c r="H15" i="29"/>
  <c r="G15" i="29"/>
  <c r="G14" i="29"/>
  <c r="F14" i="29"/>
  <c r="H13" i="29"/>
  <c r="G13" i="29"/>
  <c r="H12" i="29"/>
  <c r="G12" i="29"/>
  <c r="F12" i="29"/>
  <c r="A1" i="29"/>
  <c r="H21" i="28"/>
  <c r="F20" i="28"/>
  <c r="H19" i="28"/>
  <c r="F19" i="28"/>
  <c r="G18" i="28"/>
  <c r="F18" i="28"/>
  <c r="H17" i="28"/>
  <c r="G16" i="28"/>
  <c r="G15" i="28"/>
  <c r="F15" i="28"/>
  <c r="H14" i="28"/>
  <c r="G14" i="28"/>
  <c r="H13" i="28"/>
  <c r="F12" i="28"/>
  <c r="A1" i="28"/>
  <c r="H44" i="27"/>
  <c r="G44" i="27"/>
  <c r="B1" i="27"/>
  <c r="I44" i="26"/>
  <c r="H44" i="26"/>
  <c r="G44" i="26"/>
  <c r="B1" i="26"/>
  <c r="G23" i="25"/>
  <c r="F23" i="25"/>
  <c r="H22" i="25"/>
  <c r="G21" i="25"/>
  <c r="G20" i="25"/>
  <c r="F20" i="25"/>
  <c r="H19" i="25"/>
  <c r="G19" i="25"/>
  <c r="H18" i="25"/>
  <c r="G17" i="25"/>
  <c r="F17" i="25"/>
  <c r="H16" i="25"/>
  <c r="F16" i="25"/>
  <c r="G15" i="25"/>
  <c r="F15" i="25"/>
  <c r="H14" i="25"/>
  <c r="A1" i="25"/>
  <c r="E23" i="24"/>
  <c r="F23" i="24"/>
  <c r="F22" i="24"/>
  <c r="E22" i="24"/>
  <c r="E21" i="24"/>
  <c r="F20" i="24"/>
  <c r="E20" i="24"/>
  <c r="F19" i="24"/>
  <c r="E18" i="24"/>
  <c r="F17" i="24"/>
  <c r="E17" i="24"/>
  <c r="F16" i="24"/>
  <c r="E16" i="24"/>
  <c r="E15" i="24"/>
  <c r="F15" i="24"/>
  <c r="F14" i="24"/>
  <c r="E14" i="24"/>
  <c r="A1" i="24"/>
  <c r="E23" i="23"/>
  <c r="F23" i="23"/>
  <c r="F22" i="23"/>
  <c r="E22" i="23"/>
  <c r="F21" i="23"/>
  <c r="E20" i="23"/>
  <c r="F20" i="23"/>
  <c r="F19" i="23"/>
  <c r="F18" i="23"/>
  <c r="E17" i="23"/>
  <c r="F16" i="23"/>
  <c r="E16" i="23"/>
  <c r="F14" i="23"/>
  <c r="A1" i="23"/>
  <c r="F22" i="22"/>
  <c r="E22" i="22"/>
  <c r="E21" i="22"/>
  <c r="F20" i="22"/>
  <c r="E20" i="22"/>
  <c r="F18" i="22"/>
  <c r="E18" i="22"/>
  <c r="E17" i="22"/>
  <c r="F16" i="22"/>
  <c r="F15" i="22"/>
  <c r="A1" i="22"/>
  <c r="F22" i="21"/>
  <c r="F21" i="21"/>
  <c r="E21" i="21"/>
  <c r="F20" i="21"/>
  <c r="E20" i="21"/>
  <c r="E18" i="21"/>
  <c r="F17" i="21"/>
  <c r="F16" i="21"/>
  <c r="E16" i="21"/>
  <c r="F14" i="21"/>
  <c r="E14" i="21"/>
  <c r="A1" i="21"/>
  <c r="G23" i="20"/>
  <c r="F23" i="20"/>
  <c r="H22" i="20"/>
  <c r="G22" i="20"/>
  <c r="H21" i="20"/>
  <c r="G21" i="20"/>
  <c r="G20" i="20"/>
  <c r="F20" i="20"/>
  <c r="H19" i="20"/>
  <c r="G19" i="20"/>
  <c r="F19" i="20"/>
  <c r="G18" i="20"/>
  <c r="F18" i="20"/>
  <c r="H17" i="20"/>
  <c r="H16" i="20"/>
  <c r="G15" i="20"/>
  <c r="F15" i="20"/>
  <c r="H14" i="20"/>
  <c r="G14" i="20"/>
  <c r="A1" i="20"/>
  <c r="H23" i="19"/>
  <c r="G23" i="19"/>
  <c r="H22" i="19"/>
  <c r="G22" i="19"/>
  <c r="F21" i="19"/>
  <c r="H20" i="19"/>
  <c r="G20" i="19"/>
  <c r="F20" i="19"/>
  <c r="G19" i="19"/>
  <c r="F19" i="19"/>
  <c r="H18" i="19"/>
  <c r="H17" i="19"/>
  <c r="G16" i="19"/>
  <c r="F16" i="19"/>
  <c r="H15" i="19"/>
  <c r="G15" i="19"/>
  <c r="H14" i="19"/>
  <c r="G14" i="19"/>
  <c r="A1" i="19"/>
  <c r="P15" i="15"/>
  <c r="W17" i="18"/>
  <c r="B50" i="18" s="1"/>
  <c r="J1" i="18"/>
  <c r="A1" i="18"/>
  <c r="C18" i="16"/>
  <c r="I38" i="17"/>
  <c r="J37" i="17"/>
  <c r="E15" i="16" s="1"/>
  <c r="G41" i="17"/>
  <c r="D19" i="16" s="1"/>
  <c r="M20" i="17"/>
  <c r="M19" i="17"/>
  <c r="A1" i="17"/>
  <c r="C19" i="16"/>
  <c r="C17" i="16"/>
  <c r="C16" i="16"/>
  <c r="C15" i="16"/>
  <c r="B1" i="16"/>
  <c r="D45" i="15"/>
  <c r="G40" i="15"/>
  <c r="D40" i="15"/>
  <c r="M29" i="15"/>
  <c r="A59" i="15" s="1"/>
  <c r="P18" i="15"/>
  <c r="P17" i="15"/>
  <c r="P16" i="15"/>
  <c r="F20" i="15"/>
  <c r="C20" i="15"/>
  <c r="A1" i="15"/>
  <c r="L25" i="14"/>
  <c r="D25" i="14"/>
  <c r="B25" i="14"/>
  <c r="N24" i="14"/>
  <c r="O24" i="14" s="1"/>
  <c r="F24" i="14"/>
  <c r="N23" i="14"/>
  <c r="O23" i="14" s="1"/>
  <c r="F23" i="14"/>
  <c r="L20" i="14"/>
  <c r="D20" i="14"/>
  <c r="B20" i="14"/>
  <c r="N18" i="14"/>
  <c r="O18" i="14" s="1"/>
  <c r="F18" i="14"/>
  <c r="N17" i="14"/>
  <c r="O17" i="14" s="1"/>
  <c r="F17" i="14"/>
  <c r="F1" i="14"/>
  <c r="L25" i="13"/>
  <c r="D25" i="13"/>
  <c r="B25" i="13"/>
  <c r="N24" i="13"/>
  <c r="O24" i="13" s="1"/>
  <c r="F24" i="13"/>
  <c r="N23" i="13"/>
  <c r="O23" i="13" s="1"/>
  <c r="F23" i="13"/>
  <c r="L20" i="13"/>
  <c r="D20" i="13"/>
  <c r="B20" i="13"/>
  <c r="N18" i="13"/>
  <c r="O18" i="13" s="1"/>
  <c r="F18" i="13"/>
  <c r="N17" i="13"/>
  <c r="O17" i="13" s="1"/>
  <c r="F17" i="13"/>
  <c r="F1" i="13"/>
  <c r="B38" i="12"/>
  <c r="J21" i="12"/>
  <c r="J20" i="12"/>
  <c r="J19" i="12"/>
  <c r="J17" i="12"/>
  <c r="B1" i="12"/>
  <c r="J21" i="11"/>
  <c r="J19" i="11"/>
  <c r="J18" i="11"/>
  <c r="J17" i="11"/>
  <c r="B1" i="11"/>
  <c r="J20" i="10"/>
  <c r="J19" i="10"/>
  <c r="J18" i="10"/>
  <c r="J17" i="10"/>
  <c r="J16" i="10"/>
  <c r="A1" i="10"/>
  <c r="C31" i="9"/>
  <c r="I25" i="9"/>
  <c r="H20" i="9"/>
  <c r="H19" i="9"/>
  <c r="H18" i="9"/>
  <c r="H17" i="9"/>
  <c r="H16" i="9"/>
  <c r="A1" i="9"/>
  <c r="H20" i="8"/>
  <c r="H28" i="8" s="1"/>
  <c r="H35" i="8" s="1"/>
  <c r="H19" i="8"/>
  <c r="H27" i="8" s="1"/>
  <c r="H34" i="8" s="1"/>
  <c r="A1" i="8"/>
  <c r="F22" i="4"/>
  <c r="F21" i="4"/>
  <c r="A1" i="7"/>
  <c r="E33" i="6"/>
  <c r="H33" i="6" s="1"/>
  <c r="E32" i="6"/>
  <c r="K26" i="6"/>
  <c r="B43" i="6" s="1"/>
  <c r="E26" i="6"/>
  <c r="H26" i="6" s="1"/>
  <c r="E17" i="6"/>
  <c r="H17" i="6" s="1"/>
  <c r="A1" i="6"/>
  <c r="E33" i="5"/>
  <c r="H33" i="5" s="1"/>
  <c r="E32" i="5"/>
  <c r="E26" i="5"/>
  <c r="H26" i="5" s="1"/>
  <c r="E17" i="5"/>
  <c r="H17" i="5" s="1"/>
  <c r="A1" i="5"/>
  <c r="A1" i="4"/>
  <c r="A93" i="3"/>
  <c r="A92" i="3" s="1"/>
  <c r="A91" i="3" s="1"/>
  <c r="A90" i="3" s="1"/>
  <c r="A89" i="3" s="1"/>
  <c r="I49" i="3"/>
  <c r="F42" i="31"/>
  <c r="P25" i="15" s="1"/>
  <c r="E42" i="31"/>
  <c r="O25" i="15" s="1"/>
  <c r="Q25" i="15" s="1"/>
  <c r="D33" i="15" s="1"/>
  <c r="F42" i="30"/>
  <c r="P24" i="15" s="1"/>
  <c r="E42" i="30"/>
  <c r="O24" i="15" s="1"/>
  <c r="Q24" i="15" s="1"/>
  <c r="D32" i="15" s="1"/>
  <c r="F42" i="29"/>
  <c r="P23" i="15" s="1"/>
  <c r="E42" i="29"/>
  <c r="O23" i="15" s="1"/>
  <c r="F42" i="28"/>
  <c r="P22" i="15" s="1"/>
  <c r="E42" i="28"/>
  <c r="O22" i="15" s="1"/>
  <c r="Q22" i="15" s="1"/>
  <c r="D25" i="15" s="1"/>
  <c r="E45" i="25"/>
  <c r="P20" i="15" s="1"/>
  <c r="D45" i="25"/>
  <c r="O20" i="15" s="1"/>
  <c r="Q20" i="15" s="1"/>
  <c r="G18" i="15" s="1"/>
  <c r="I50" i="3"/>
  <c r="J50" i="3" s="1"/>
  <c r="D43" i="23"/>
  <c r="G44" i="18" s="1"/>
  <c r="N25" i="18" s="1"/>
  <c r="D43" i="22"/>
  <c r="I43" i="18" s="1"/>
  <c r="N29" i="18" s="1"/>
  <c r="D43" i="21"/>
  <c r="G43" i="18" s="1"/>
  <c r="N24" i="18" s="1"/>
  <c r="E45" i="20"/>
  <c r="Q28" i="18" s="1"/>
  <c r="P14" i="15" s="1"/>
  <c r="D45" i="20"/>
  <c r="I42" i="18" s="1"/>
  <c r="N28" i="18" s="1"/>
  <c r="E45" i="19"/>
  <c r="Q23" i="18" s="1"/>
  <c r="P13" i="15" s="1"/>
  <c r="C48" i="3"/>
  <c r="A30" i="3"/>
  <c r="A29" i="3" s="1"/>
  <c r="A28" i="3" s="1"/>
  <c r="A27" i="3" s="1"/>
  <c r="A26" i="3" s="1"/>
  <c r="H21" i="40"/>
  <c r="H30" i="39"/>
  <c r="H39" i="38"/>
  <c r="H36" i="38"/>
  <c r="A13" i="3"/>
  <c r="A12" i="3" s="1"/>
  <c r="A11" i="3" s="1"/>
  <c r="A10" i="3" s="1"/>
  <c r="A9" i="3" s="1"/>
  <c r="M18" i="17"/>
  <c r="M22" i="17" s="1"/>
  <c r="A28" i="32"/>
  <c r="A27" i="32" s="1"/>
  <c r="A26" i="32" s="1"/>
  <c r="A25" i="32" s="1"/>
  <c r="A24" i="32" s="1"/>
  <c r="A23" i="32" s="1"/>
  <c r="A22" i="32" s="1"/>
  <c r="A21" i="32" s="1"/>
  <c r="A20" i="32" s="1"/>
  <c r="A19" i="32" s="1"/>
  <c r="A18" i="32" s="1"/>
  <c r="A17" i="32" s="1"/>
  <c r="A16" i="32" s="1"/>
  <c r="A15" i="32" s="1"/>
  <c r="A14" i="32" s="1"/>
  <c r="I23" i="9" l="1"/>
  <c r="F25" i="14"/>
  <c r="H23" i="14" s="1"/>
  <c r="F20" i="14"/>
  <c r="F20" i="13"/>
  <c r="H20" i="13" s="1"/>
  <c r="H24" i="11"/>
  <c r="Q23" i="15"/>
  <c r="D26" i="15" s="1"/>
  <c r="C50" i="3"/>
  <c r="D50" i="3" s="1"/>
  <c r="D48" i="3"/>
  <c r="C49" i="3"/>
  <c r="D49" i="3" s="1"/>
  <c r="E35" i="5"/>
  <c r="F17" i="4" s="1"/>
  <c r="A20" i="10"/>
  <c r="A19" i="10" s="1"/>
  <c r="A18" i="10" s="1"/>
  <c r="A17" i="10" s="1"/>
  <c r="A16" i="10" s="1"/>
  <c r="J20" i="11"/>
  <c r="F39" i="17"/>
  <c r="W20" i="18"/>
  <c r="F23" i="22"/>
  <c r="F13" i="28"/>
  <c r="F21" i="28"/>
  <c r="C27" i="3"/>
  <c r="L17" i="36"/>
  <c r="E35" i="6"/>
  <c r="F20" i="4" s="1"/>
  <c r="F24" i="4" s="1"/>
  <c r="A20" i="9"/>
  <c r="A19" i="9" s="1"/>
  <c r="A18" i="9" s="1"/>
  <c r="A17" i="9" s="1"/>
  <c r="A16" i="9" s="1"/>
  <c r="H23" i="10"/>
  <c r="A21" i="11"/>
  <c r="A20" i="11" s="1"/>
  <c r="A19" i="11" s="1"/>
  <c r="A18" i="11" s="1"/>
  <c r="A17" i="11" s="1"/>
  <c r="F40" i="15"/>
  <c r="J40" i="17"/>
  <c r="E18" i="16" s="1"/>
  <c r="I40" i="17"/>
  <c r="G39" i="17"/>
  <c r="D17" i="16" s="1"/>
  <c r="I41" i="17"/>
  <c r="E17" i="21"/>
  <c r="F14" i="22"/>
  <c r="G13" i="28"/>
  <c r="H16" i="28"/>
  <c r="G21" i="28"/>
  <c r="E16" i="32"/>
  <c r="F16" i="32"/>
  <c r="F25" i="13"/>
  <c r="H23" i="13" s="1"/>
  <c r="G23" i="18"/>
  <c r="F15" i="21"/>
  <c r="E37" i="21" s="1"/>
  <c r="F19" i="21"/>
  <c r="H46" i="26"/>
  <c r="H50" i="26" s="1"/>
  <c r="E24" i="32"/>
  <c r="J49" i="3"/>
  <c r="B37" i="10"/>
  <c r="A21" i="12"/>
  <c r="A20" i="12" s="1"/>
  <c r="A19" i="12" s="1"/>
  <c r="A18" i="12" s="1"/>
  <c r="A17" i="12" s="1"/>
  <c r="F38" i="17"/>
  <c r="I23" i="18"/>
  <c r="F17" i="19"/>
  <c r="F16" i="20"/>
  <c r="D43" i="24"/>
  <c r="I44" i="18" s="1"/>
  <c r="N30" i="18" s="1"/>
  <c r="F18" i="25"/>
  <c r="F18" i="29"/>
  <c r="F17" i="30"/>
  <c r="F24" i="32"/>
  <c r="G36" i="38"/>
  <c r="I48" i="3"/>
  <c r="J48" i="3" s="1"/>
  <c r="J18" i="12"/>
  <c r="C40" i="15"/>
  <c r="G40" i="17"/>
  <c r="D18" i="16" s="1"/>
  <c r="F14" i="19"/>
  <c r="G17" i="19"/>
  <c r="F22" i="19"/>
  <c r="D45" i="19"/>
  <c r="G42" i="18" s="1"/>
  <c r="N23" i="18" s="1"/>
  <c r="G16" i="20"/>
  <c r="F21" i="20"/>
  <c r="G18" i="25"/>
  <c r="H21" i="25"/>
  <c r="E28" i="33"/>
  <c r="C29" i="33"/>
  <c r="I30" i="33"/>
  <c r="G31" i="33"/>
  <c r="E32" i="33"/>
  <c r="C33" i="33"/>
  <c r="A77" i="3"/>
  <c r="A23" i="35"/>
  <c r="A22" i="35" s="1"/>
  <c r="A21" i="35" s="1"/>
  <c r="A23" i="34"/>
  <c r="A22" i="34" s="1"/>
  <c r="A21" i="34" s="1"/>
  <c r="A23" i="33"/>
  <c r="A22" i="33" s="1"/>
  <c r="A21" i="33" s="1"/>
  <c r="L16" i="36"/>
  <c r="A21" i="36"/>
  <c r="A20" i="36" s="1"/>
  <c r="B30" i="3"/>
  <c r="B29" i="3" s="1"/>
  <c r="B28" i="3" s="1"/>
  <c r="C37" i="9"/>
  <c r="B38" i="11"/>
  <c r="M30" i="15"/>
  <c r="M21" i="17"/>
  <c r="E41" i="23"/>
  <c r="F38" i="31"/>
  <c r="H16" i="19"/>
  <c r="F18" i="19"/>
  <c r="G21" i="19"/>
  <c r="H15" i="20"/>
  <c r="F17" i="20"/>
  <c r="H23" i="20"/>
  <c r="F18" i="21"/>
  <c r="E39" i="21" s="1"/>
  <c r="F17" i="23"/>
  <c r="D37" i="23" s="1"/>
  <c r="E19" i="24"/>
  <c r="F14" i="25"/>
  <c r="H20" i="25"/>
  <c r="F22" i="25"/>
  <c r="G12" i="28"/>
  <c r="E36" i="28" s="1"/>
  <c r="H15" i="28"/>
  <c r="H26" i="28" s="1"/>
  <c r="F17" i="28"/>
  <c r="E26" i="28" s="1"/>
  <c r="G20" i="28"/>
  <c r="H14" i="29"/>
  <c r="H28" i="29" s="1"/>
  <c r="F16" i="29"/>
  <c r="G19" i="29"/>
  <c r="H13" i="30"/>
  <c r="F15" i="30"/>
  <c r="H21" i="30"/>
  <c r="H12" i="31"/>
  <c r="H26" i="31" s="1"/>
  <c r="F14" i="31"/>
  <c r="G17" i="31"/>
  <c r="H20" i="31"/>
  <c r="E20" i="32"/>
  <c r="F22" i="32"/>
  <c r="G28" i="33"/>
  <c r="E29" i="33"/>
  <c r="C30" i="33"/>
  <c r="I31" i="33"/>
  <c r="G32" i="33"/>
  <c r="G44" i="33" s="1"/>
  <c r="E33" i="33"/>
  <c r="C34" i="33"/>
  <c r="G36" i="33"/>
  <c r="E37" i="33"/>
  <c r="C38" i="33"/>
  <c r="C44" i="33" s="1"/>
  <c r="F33" i="32" s="1"/>
  <c r="G28" i="34"/>
  <c r="E29" i="34"/>
  <c r="C30" i="34"/>
  <c r="I31" i="34"/>
  <c r="G32" i="34"/>
  <c r="E33" i="34"/>
  <c r="C34" i="34"/>
  <c r="G36" i="34"/>
  <c r="E37" i="34"/>
  <c r="C38" i="34"/>
  <c r="G28" i="35"/>
  <c r="E29" i="35"/>
  <c r="C30" i="35"/>
  <c r="I31" i="35"/>
  <c r="G32" i="35"/>
  <c r="G44" i="35" s="1"/>
  <c r="E33" i="35"/>
  <c r="C34" i="35"/>
  <c r="G36" i="35"/>
  <c r="E37" i="35"/>
  <c r="E44" i="35" s="1"/>
  <c r="C38" i="35"/>
  <c r="F13" i="37"/>
  <c r="F16" i="37"/>
  <c r="G24" i="38"/>
  <c r="E28" i="38"/>
  <c r="E39" i="38" s="1"/>
  <c r="G37" i="17"/>
  <c r="D15" i="16" s="1"/>
  <c r="F15" i="19"/>
  <c r="G18" i="19"/>
  <c r="H21" i="19"/>
  <c r="F23" i="19"/>
  <c r="F14" i="20"/>
  <c r="G17" i="20"/>
  <c r="H20" i="20"/>
  <c r="E29" i="20" s="1"/>
  <c r="F22" i="20"/>
  <c r="E22" i="21"/>
  <c r="F17" i="22"/>
  <c r="E14" i="23"/>
  <c r="E21" i="23"/>
  <c r="F21" i="24"/>
  <c r="G14" i="25"/>
  <c r="H17" i="25"/>
  <c r="G29" i="25" s="1"/>
  <c r="F19" i="25"/>
  <c r="G22" i="25"/>
  <c r="D43" i="25" s="1"/>
  <c r="H12" i="28"/>
  <c r="F14" i="28"/>
  <c r="G17" i="28"/>
  <c r="G40" i="28" s="1"/>
  <c r="H20" i="28"/>
  <c r="F13" i="29"/>
  <c r="G26" i="29" s="1"/>
  <c r="G16" i="29"/>
  <c r="G36" i="29" s="1"/>
  <c r="H19" i="29"/>
  <c r="F21" i="29"/>
  <c r="E30" i="29" s="1"/>
  <c r="F12" i="30"/>
  <c r="G15" i="30"/>
  <c r="H18" i="30"/>
  <c r="F20" i="30"/>
  <c r="E30" i="30" s="1"/>
  <c r="G14" i="31"/>
  <c r="G38" i="31" s="1"/>
  <c r="H17" i="31"/>
  <c r="H30" i="31" s="1"/>
  <c r="F19" i="31"/>
  <c r="E34" i="32"/>
  <c r="F37" i="35"/>
  <c r="D38" i="35"/>
  <c r="B39" i="35"/>
  <c r="C45" i="36"/>
  <c r="C19" i="38"/>
  <c r="C36" i="38" s="1"/>
  <c r="F28" i="38"/>
  <c r="C15" i="38"/>
  <c r="G39" i="38"/>
  <c r="D30" i="39"/>
  <c r="E14" i="22"/>
  <c r="E16" i="22"/>
  <c r="F19" i="22"/>
  <c r="E41" i="22" s="1"/>
  <c r="F21" i="22"/>
  <c r="E18" i="23"/>
  <c r="F18" i="24"/>
  <c r="E41" i="24" s="1"/>
  <c r="G16" i="25"/>
  <c r="F21" i="25"/>
  <c r="D31" i="25" s="1"/>
  <c r="H46" i="27"/>
  <c r="H48" i="27" s="1"/>
  <c r="F16" i="28"/>
  <c r="E28" i="28" s="1"/>
  <c r="G19" i="28"/>
  <c r="F15" i="29"/>
  <c r="G18" i="29"/>
  <c r="F14" i="30"/>
  <c r="G28" i="30" s="1"/>
  <c r="G17" i="30"/>
  <c r="G40" i="30" s="1"/>
  <c r="F13" i="31"/>
  <c r="E26" i="31" s="1"/>
  <c r="G16" i="31"/>
  <c r="F21" i="31"/>
  <c r="E14" i="32"/>
  <c r="E21" i="32"/>
  <c r="F23" i="32"/>
  <c r="F25" i="32"/>
  <c r="B28" i="33"/>
  <c r="J28" i="33"/>
  <c r="H29" i="33"/>
  <c r="F30" i="33"/>
  <c r="D31" i="33"/>
  <c r="B32" i="33"/>
  <c r="J32" i="33"/>
  <c r="H33" i="33"/>
  <c r="F34" i="33"/>
  <c r="F44" i="33" s="1"/>
  <c r="D35" i="33"/>
  <c r="D44" i="33" s="1"/>
  <c r="B36" i="33"/>
  <c r="B40" i="33"/>
  <c r="B28" i="34"/>
  <c r="J28" i="34"/>
  <c r="H29" i="34"/>
  <c r="F30" i="34"/>
  <c r="D31" i="34"/>
  <c r="B32" i="34"/>
  <c r="J32" i="34"/>
  <c r="J44" i="34" s="1"/>
  <c r="J47" i="34" s="1"/>
  <c r="H33" i="34"/>
  <c r="F34" i="34"/>
  <c r="F44" i="34" s="1"/>
  <c r="D35" i="34"/>
  <c r="B36" i="34"/>
  <c r="B40" i="34"/>
  <c r="B28" i="35"/>
  <c r="J28" i="35"/>
  <c r="H29" i="35"/>
  <c r="F30" i="35"/>
  <c r="D31" i="35"/>
  <c r="B32" i="35"/>
  <c r="J32" i="35"/>
  <c r="H33" i="35"/>
  <c r="F34" i="35"/>
  <c r="F44" i="35" s="1"/>
  <c r="D35" i="35"/>
  <c r="D44" i="35" s="1"/>
  <c r="B36" i="35"/>
  <c r="B40" i="35"/>
  <c r="D26" i="39"/>
  <c r="E30" i="39"/>
  <c r="F19" i="30"/>
  <c r="G13" i="31"/>
  <c r="E36" i="31" s="1"/>
  <c r="F18" i="31"/>
  <c r="G21" i="31"/>
  <c r="E40" i="31" s="1"/>
  <c r="C44" i="35"/>
  <c r="F36" i="38"/>
  <c r="E35" i="36"/>
  <c r="C39" i="38"/>
  <c r="H19" i="19"/>
  <c r="G29" i="19" s="1"/>
  <c r="H18" i="20"/>
  <c r="F23" i="21"/>
  <c r="D41" i="21" s="1"/>
  <c r="F15" i="23"/>
  <c r="H15" i="25"/>
  <c r="H23" i="25"/>
  <c r="H18" i="28"/>
  <c r="F30" i="28" s="1"/>
  <c r="H17" i="29"/>
  <c r="F26" i="29" s="1"/>
  <c r="H16" i="30"/>
  <c r="F30" i="30" s="1"/>
  <c r="H15" i="31"/>
  <c r="F28" i="31" s="1"/>
  <c r="F15" i="32"/>
  <c r="F17" i="32"/>
  <c r="E22" i="32"/>
  <c r="F28" i="33"/>
  <c r="D29" i="33"/>
  <c r="B30" i="33"/>
  <c r="J30" i="33"/>
  <c r="J44" i="33" s="1"/>
  <c r="J47" i="33" s="1"/>
  <c r="H31" i="33"/>
  <c r="F32" i="33"/>
  <c r="D33" i="33"/>
  <c r="B34" i="33"/>
  <c r="H35" i="33"/>
  <c r="D37" i="33"/>
  <c r="B38" i="33"/>
  <c r="B44" i="33" s="1"/>
  <c r="E33" i="32" s="1"/>
  <c r="F28" i="34"/>
  <c r="D29" i="34"/>
  <c r="B30" i="34"/>
  <c r="J30" i="34"/>
  <c r="H31" i="34"/>
  <c r="F32" i="34"/>
  <c r="D33" i="34"/>
  <c r="B34" i="34"/>
  <c r="H35" i="34"/>
  <c r="H44" i="34" s="1"/>
  <c r="D37" i="34"/>
  <c r="B38" i="34"/>
  <c r="F28" i="35"/>
  <c r="D29" i="35"/>
  <c r="B30" i="35"/>
  <c r="J30" i="35"/>
  <c r="J44" i="35" s="1"/>
  <c r="J47" i="35" s="1"/>
  <c r="H31" i="35"/>
  <c r="H44" i="35" s="1"/>
  <c r="F32" i="35"/>
  <c r="D33" i="35"/>
  <c r="B34" i="35"/>
  <c r="H35" i="35"/>
  <c r="D37" i="35"/>
  <c r="B38" i="35"/>
  <c r="B44" i="35" s="1"/>
  <c r="E15" i="38"/>
  <c r="E36" i="38" s="1"/>
  <c r="F24" i="38"/>
  <c r="D28" i="38"/>
  <c r="D39" i="38" s="1"/>
  <c r="D36" i="38"/>
  <c r="E18" i="37"/>
  <c r="H26" i="11" s="1"/>
  <c r="F18" i="37"/>
  <c r="H26" i="12" s="1"/>
  <c r="A19" i="36"/>
  <c r="A34" i="36"/>
  <c r="A47" i="36" s="1"/>
  <c r="E47" i="36" s="1"/>
  <c r="D32" i="36"/>
  <c r="E33" i="36" s="1"/>
  <c r="D19" i="36"/>
  <c r="E20" i="36" s="1"/>
  <c r="E34" i="36"/>
  <c r="C48" i="36"/>
  <c r="F45" i="36"/>
  <c r="C47" i="36"/>
  <c r="E21" i="36"/>
  <c r="F48" i="36"/>
  <c r="A20" i="35"/>
  <c r="A40" i="35"/>
  <c r="I33" i="35"/>
  <c r="I44" i="35" s="1"/>
  <c r="A41" i="35"/>
  <c r="E44" i="34"/>
  <c r="D44" i="34"/>
  <c r="C44" i="34"/>
  <c r="A20" i="34"/>
  <c r="A40" i="34"/>
  <c r="B44" i="34"/>
  <c r="I33" i="34"/>
  <c r="I44" i="34" s="1"/>
  <c r="A41" i="34"/>
  <c r="E44" i="33"/>
  <c r="A20" i="33"/>
  <c r="A40" i="33"/>
  <c r="H44" i="33"/>
  <c r="I33" i="33"/>
  <c r="I44" i="33" s="1"/>
  <c r="A41" i="33"/>
  <c r="E32" i="32"/>
  <c r="F32" i="32"/>
  <c r="G28" i="31"/>
  <c r="E28" i="31"/>
  <c r="F30" i="31"/>
  <c r="G30" i="31"/>
  <c r="H28" i="31"/>
  <c r="H38" i="31"/>
  <c r="G40" i="31"/>
  <c r="E30" i="31"/>
  <c r="E38" i="31"/>
  <c r="G38" i="30"/>
  <c r="H38" i="30"/>
  <c r="E28" i="30"/>
  <c r="E36" i="30"/>
  <c r="E40" i="30"/>
  <c r="E38" i="30"/>
  <c r="H36" i="29"/>
  <c r="H26" i="29"/>
  <c r="G28" i="29"/>
  <c r="E28" i="29"/>
  <c r="H38" i="29"/>
  <c r="G30" i="29"/>
  <c r="G40" i="29"/>
  <c r="H40" i="29"/>
  <c r="E36" i="29"/>
  <c r="E40" i="29"/>
  <c r="F28" i="29"/>
  <c r="F40" i="29"/>
  <c r="H40" i="28"/>
  <c r="H30" i="28"/>
  <c r="G26" i="28"/>
  <c r="G36" i="28"/>
  <c r="H36" i="28"/>
  <c r="F26" i="28"/>
  <c r="F38" i="28"/>
  <c r="G38" i="28"/>
  <c r="H38" i="28"/>
  <c r="E40" i="28"/>
  <c r="F28" i="28"/>
  <c r="F36" i="28"/>
  <c r="F40" i="28"/>
  <c r="E30" i="28"/>
  <c r="E38" i="28"/>
  <c r="F31" i="25"/>
  <c r="E33" i="25"/>
  <c r="F39" i="25"/>
  <c r="F41" i="25"/>
  <c r="F33" i="25"/>
  <c r="G43" i="25"/>
  <c r="G33" i="25"/>
  <c r="G31" i="25"/>
  <c r="G41" i="25"/>
  <c r="F43" i="25"/>
  <c r="D39" i="25"/>
  <c r="E43" i="25"/>
  <c r="D29" i="25"/>
  <c r="D33" i="25"/>
  <c r="D41" i="25"/>
  <c r="D28" i="24"/>
  <c r="D30" i="24"/>
  <c r="E28" i="24"/>
  <c r="D32" i="24"/>
  <c r="E30" i="24"/>
  <c r="E32" i="24"/>
  <c r="D37" i="24"/>
  <c r="D39" i="24"/>
  <c r="E37" i="23"/>
  <c r="E15" i="23"/>
  <c r="E19" i="23"/>
  <c r="E30" i="23" s="1"/>
  <c r="D39" i="23"/>
  <c r="D41" i="23"/>
  <c r="E37" i="22"/>
  <c r="E15" i="22"/>
  <c r="E19" i="22"/>
  <c r="E32" i="22" s="1"/>
  <c r="E23" i="22"/>
  <c r="D37" i="22"/>
  <c r="D39" i="22"/>
  <c r="E41" i="21"/>
  <c r="E15" i="21"/>
  <c r="E19" i="21"/>
  <c r="D32" i="21" s="1"/>
  <c r="E23" i="21"/>
  <c r="G39" i="20"/>
  <c r="G29" i="20"/>
  <c r="F31" i="20"/>
  <c r="F39" i="20"/>
  <c r="F41" i="20"/>
  <c r="F33" i="20"/>
  <c r="G43" i="20"/>
  <c r="G33" i="20"/>
  <c r="G31" i="20"/>
  <c r="F43" i="20"/>
  <c r="D31" i="20"/>
  <c r="D39" i="20"/>
  <c r="D43" i="20"/>
  <c r="E31" i="20"/>
  <c r="E39" i="20"/>
  <c r="E43" i="20"/>
  <c r="D29" i="20"/>
  <c r="D33" i="20"/>
  <c r="D41" i="20"/>
  <c r="F31" i="19"/>
  <c r="E33" i="19"/>
  <c r="F39" i="19"/>
  <c r="F41" i="19"/>
  <c r="F33" i="19"/>
  <c r="F43" i="19"/>
  <c r="E29" i="19"/>
  <c r="G43" i="19"/>
  <c r="G33" i="19"/>
  <c r="D31" i="19"/>
  <c r="D39" i="19"/>
  <c r="D43" i="19"/>
  <c r="E43" i="19"/>
  <c r="D29" i="19"/>
  <c r="D33" i="19"/>
  <c r="D41" i="19"/>
  <c r="I26" i="18"/>
  <c r="I27" i="18" s="1"/>
  <c r="I30" i="18" s="1"/>
  <c r="G26" i="18"/>
  <c r="G27" i="18" s="1"/>
  <c r="G30" i="18" s="1"/>
  <c r="B47" i="18"/>
  <c r="W18" i="18"/>
  <c r="B48" i="18"/>
  <c r="E50" i="17"/>
  <c r="D24" i="16" s="1"/>
  <c r="M23" i="17"/>
  <c r="M24" i="17" s="1"/>
  <c r="G50" i="17" s="1"/>
  <c r="E24" i="16" s="1"/>
  <c r="B52" i="17"/>
  <c r="J41" i="17"/>
  <c r="E19" i="16" s="1"/>
  <c r="F37" i="17"/>
  <c r="G38" i="17"/>
  <c r="D16" i="16" s="1"/>
  <c r="I39" i="17"/>
  <c r="J39" i="17"/>
  <c r="E17" i="16" s="1"/>
  <c r="I37" i="17"/>
  <c r="J38" i="17"/>
  <c r="E16" i="16" s="1"/>
  <c r="F41" i="17"/>
  <c r="F40" i="17"/>
  <c r="D31" i="15"/>
  <c r="F55" i="15" s="1"/>
  <c r="M31" i="15"/>
  <c r="H24" i="12"/>
  <c r="H32" i="6"/>
  <c r="H32" i="5"/>
  <c r="G77" i="3"/>
  <c r="A76" i="3"/>
  <c r="B27" i="3"/>
  <c r="C26" i="3"/>
  <c r="A59" i="3"/>
  <c r="A68" i="3"/>
  <c r="A85" i="3"/>
  <c r="A84" i="3" s="1"/>
  <c r="A83" i="3" s="1"/>
  <c r="A82" i="3" s="1"/>
  <c r="A81" i="3" s="1"/>
  <c r="C28" i="3"/>
  <c r="D28" i="3" s="1"/>
  <c r="E28" i="3" s="1"/>
  <c r="C30" i="3"/>
  <c r="D30" i="3" s="1"/>
  <c r="E30" i="3" s="1"/>
  <c r="C29" i="3"/>
  <c r="D29" i="3" s="1"/>
  <c r="E29" i="3" s="1"/>
  <c r="H35" i="6" l="1"/>
  <c r="J20" i="4" s="1"/>
  <c r="H35" i="5"/>
  <c r="J17" i="4" s="1"/>
  <c r="H24" i="14"/>
  <c r="H25" i="14"/>
  <c r="H24" i="13"/>
  <c r="H25" i="13"/>
  <c r="H17" i="14"/>
  <c r="H18" i="13"/>
  <c r="H20" i="14"/>
  <c r="H18" i="14"/>
  <c r="H17" i="13"/>
  <c r="F27" i="4"/>
  <c r="E28" i="23"/>
  <c r="E31" i="19"/>
  <c r="G31" i="19"/>
  <c r="G39" i="19"/>
  <c r="D39" i="21"/>
  <c r="D41" i="22"/>
  <c r="E39" i="22"/>
  <c r="E39" i="23"/>
  <c r="E31" i="25"/>
  <c r="G39" i="25"/>
  <c r="G28" i="28"/>
  <c r="F38" i="29"/>
  <c r="G38" i="29"/>
  <c r="E26" i="30"/>
  <c r="H30" i="30"/>
  <c r="F36" i="31"/>
  <c r="H40" i="31"/>
  <c r="H36" i="31"/>
  <c r="F39" i="38"/>
  <c r="F38" i="30"/>
  <c r="G44" i="34"/>
  <c r="E32" i="21"/>
  <c r="B53" i="17"/>
  <c r="D30" i="21"/>
  <c r="D41" i="24"/>
  <c r="E29" i="25"/>
  <c r="E26" i="29"/>
  <c r="H30" i="29"/>
  <c r="F30" i="29"/>
  <c r="F40" i="30"/>
  <c r="H40" i="30"/>
  <c r="H26" i="30"/>
  <c r="F26" i="31"/>
  <c r="G36" i="31"/>
  <c r="A35" i="36"/>
  <c r="A48" i="36" s="1"/>
  <c r="E48" i="36" s="1"/>
  <c r="G26" i="30"/>
  <c r="E41" i="25"/>
  <c r="H40" i="15"/>
  <c r="F36" i="30"/>
  <c r="F26" i="30"/>
  <c r="H36" i="30"/>
  <c r="F35" i="32"/>
  <c r="D48" i="36"/>
  <c r="D46" i="15"/>
  <c r="F56" i="15" s="1"/>
  <c r="G30" i="28"/>
  <c r="F29" i="25"/>
  <c r="G41" i="20"/>
  <c r="E33" i="20"/>
  <c r="D28" i="21"/>
  <c r="D32" i="22"/>
  <c r="H28" i="28"/>
  <c r="F36" i="29"/>
  <c r="F28" i="30"/>
  <c r="G30" i="30"/>
  <c r="G36" i="30"/>
  <c r="E35" i="32"/>
  <c r="D47" i="15"/>
  <c r="F57" i="15" s="1"/>
  <c r="H57" i="15" s="1"/>
  <c r="H28" i="12" s="1"/>
  <c r="H30" i="12" s="1"/>
  <c r="D28" i="22"/>
  <c r="H28" i="30"/>
  <c r="I47" i="33"/>
  <c r="H47" i="33" s="1"/>
  <c r="G47" i="33" s="1"/>
  <c r="F47" i="33" s="1"/>
  <c r="G26" i="31"/>
  <c r="L18" i="36"/>
  <c r="E30" i="21"/>
  <c r="I47" i="35"/>
  <c r="H47" i="35" s="1"/>
  <c r="G47" i="35" s="1"/>
  <c r="F47" i="35" s="1"/>
  <c r="E47" i="35" s="1"/>
  <c r="D47" i="35" s="1"/>
  <c r="C47" i="35" s="1"/>
  <c r="B47" i="35" s="1"/>
  <c r="E41" i="20"/>
  <c r="E41" i="19"/>
  <c r="D37" i="21"/>
  <c r="E39" i="19"/>
  <c r="G41" i="19"/>
  <c r="D28" i="23"/>
  <c r="E37" i="24"/>
  <c r="E39" i="25"/>
  <c r="E38" i="29"/>
  <c r="F40" i="31"/>
  <c r="G45" i="36"/>
  <c r="E39" i="24"/>
  <c r="F29" i="20"/>
  <c r="F29" i="19"/>
  <c r="D18" i="36"/>
  <c r="D31" i="36"/>
  <c r="E32" i="36"/>
  <c r="A33" i="36"/>
  <c r="A46" i="36" s="1"/>
  <c r="E46" i="36" s="1"/>
  <c r="A18" i="36"/>
  <c r="A19" i="35"/>
  <c r="A39" i="35"/>
  <c r="A19" i="34"/>
  <c r="A39" i="34"/>
  <c r="I47" i="34"/>
  <c r="H47" i="34" s="1"/>
  <c r="G47" i="34" s="1"/>
  <c r="F47" i="34" s="1"/>
  <c r="E47" i="34" s="1"/>
  <c r="D47" i="34" s="1"/>
  <c r="C47" i="34" s="1"/>
  <c r="B47" i="34" s="1"/>
  <c r="A19" i="33"/>
  <c r="A39" i="33"/>
  <c r="D32" i="23"/>
  <c r="D30" i="23"/>
  <c r="E32" i="23"/>
  <c r="E30" i="22"/>
  <c r="E28" i="22"/>
  <c r="D30" i="22"/>
  <c r="E28" i="21"/>
  <c r="B49" i="18"/>
  <c r="W22" i="18"/>
  <c r="H55" i="15"/>
  <c r="H27" i="10" s="1"/>
  <c r="H29" i="10" s="1"/>
  <c r="H56" i="15"/>
  <c r="H28" i="11" s="1"/>
  <c r="H30" i="11" s="1"/>
  <c r="K77" i="3"/>
  <c r="E68" i="3"/>
  <c r="C85" i="3"/>
  <c r="K59" i="3"/>
  <c r="J59" i="3"/>
  <c r="D93" i="3"/>
  <c r="C93" i="3"/>
  <c r="K68" i="3"/>
  <c r="E93" i="3"/>
  <c r="J68" i="3"/>
  <c r="E77" i="3"/>
  <c r="B93" i="3"/>
  <c r="E59" i="3"/>
  <c r="J77" i="3"/>
  <c r="D68" i="3"/>
  <c r="B85" i="3"/>
  <c r="D77" i="3"/>
  <c r="D59" i="3"/>
  <c r="B92" i="3"/>
  <c r="C92" i="3"/>
  <c r="E76" i="3"/>
  <c r="D58" i="3"/>
  <c r="K67" i="3"/>
  <c r="B84" i="3"/>
  <c r="D92" i="3"/>
  <c r="K58" i="3"/>
  <c r="E67" i="3"/>
  <c r="D76" i="3"/>
  <c r="E58" i="3"/>
  <c r="J76" i="3"/>
  <c r="J67" i="3"/>
  <c r="D67" i="3"/>
  <c r="K76" i="3"/>
  <c r="J58" i="3"/>
  <c r="E92" i="3"/>
  <c r="C84" i="3"/>
  <c r="K57" i="3"/>
  <c r="C91" i="3"/>
  <c r="E57" i="3"/>
  <c r="C83" i="3"/>
  <c r="E75" i="3"/>
  <c r="J66" i="3"/>
  <c r="D91" i="3"/>
  <c r="J57" i="3"/>
  <c r="D57" i="3"/>
  <c r="B91" i="3"/>
  <c r="K66" i="3"/>
  <c r="E91" i="3"/>
  <c r="D75" i="3"/>
  <c r="E66" i="3"/>
  <c r="D66" i="3"/>
  <c r="K75" i="3"/>
  <c r="J75" i="3"/>
  <c r="B83" i="3"/>
  <c r="G59" i="3"/>
  <c r="A58" i="3"/>
  <c r="A67" i="3"/>
  <c r="G68" i="3"/>
  <c r="B26" i="3"/>
  <c r="D26" i="3" s="1"/>
  <c r="E26" i="3" s="1"/>
  <c r="D27" i="3"/>
  <c r="E27" i="3" s="1"/>
  <c r="A75" i="3"/>
  <c r="G76" i="3"/>
  <c r="J31" i="10" l="1"/>
  <c r="H31" i="10"/>
  <c r="J32" i="12"/>
  <c r="H32" i="12"/>
  <c r="J32" i="11"/>
  <c r="H32" i="11"/>
  <c r="F32" i="36"/>
  <c r="G32" i="36" s="1"/>
  <c r="F35" i="36"/>
  <c r="G35" i="36" s="1"/>
  <c r="F17" i="36"/>
  <c r="F31" i="36"/>
  <c r="F18" i="36"/>
  <c r="G44" i="36"/>
  <c r="G46" i="36"/>
  <c r="D45" i="36"/>
  <c r="F33" i="36"/>
  <c r="G33" i="36" s="1"/>
  <c r="F19" i="36"/>
  <c r="F34" i="36"/>
  <c r="G34" i="36" s="1"/>
  <c r="D46" i="36"/>
  <c r="G47" i="36"/>
  <c r="F21" i="36"/>
  <c r="G21" i="36" s="1"/>
  <c r="F20" i="36"/>
  <c r="G20" i="36" s="1"/>
  <c r="D44" i="36"/>
  <c r="D47" i="36"/>
  <c r="G48" i="36"/>
  <c r="E47" i="33"/>
  <c r="D41" i="32"/>
  <c r="A32" i="36"/>
  <c r="A45" i="36" s="1"/>
  <c r="E45" i="36" s="1"/>
  <c r="A17" i="36"/>
  <c r="D17" i="36"/>
  <c r="D30" i="36"/>
  <c r="E31" i="36" s="1"/>
  <c r="G31" i="36" s="1"/>
  <c r="E19" i="36"/>
  <c r="G19" i="36" s="1"/>
  <c r="A18" i="35"/>
  <c r="A38" i="35"/>
  <c r="A38" i="34"/>
  <c r="A18" i="34"/>
  <c r="A38" i="33"/>
  <c r="A18" i="33"/>
  <c r="I31" i="18"/>
  <c r="I32" i="18" s="1"/>
  <c r="M28" i="18" s="1"/>
  <c r="N14" i="15" s="1"/>
  <c r="G31" i="18"/>
  <c r="G32" i="18" s="1"/>
  <c r="M23" i="18" s="1"/>
  <c r="N13" i="15" s="1"/>
  <c r="G67" i="3"/>
  <c r="A66" i="3"/>
  <c r="A57" i="3"/>
  <c r="G58" i="3"/>
  <c r="G75" i="3"/>
  <c r="A74" i="3"/>
  <c r="K73" i="3"/>
  <c r="B89" i="3"/>
  <c r="C89" i="3"/>
  <c r="E64" i="3"/>
  <c r="D55" i="3"/>
  <c r="E73" i="3"/>
  <c r="K64" i="3"/>
  <c r="J55" i="3"/>
  <c r="E89" i="3"/>
  <c r="K55" i="3"/>
  <c r="D64" i="3"/>
  <c r="J64" i="3"/>
  <c r="C81" i="3"/>
  <c r="J73" i="3"/>
  <c r="B81" i="3"/>
  <c r="D89" i="3"/>
  <c r="D73" i="3"/>
  <c r="E55" i="3"/>
  <c r="K65" i="3"/>
  <c r="E56" i="3"/>
  <c r="D90" i="3"/>
  <c r="J65" i="3"/>
  <c r="J56" i="3"/>
  <c r="E65" i="3"/>
  <c r="K56" i="3"/>
  <c r="C82" i="3"/>
  <c r="K74" i="3"/>
  <c r="D56" i="3"/>
  <c r="E90" i="3"/>
  <c r="B90" i="3"/>
  <c r="E74" i="3"/>
  <c r="J74" i="3"/>
  <c r="C90" i="3"/>
  <c r="D74" i="3"/>
  <c r="D65" i="3"/>
  <c r="B82" i="3"/>
  <c r="H34" i="11" l="1"/>
  <c r="G17" i="7" s="1"/>
  <c r="H21" i="4"/>
  <c r="D47" i="33"/>
  <c r="D42" i="32"/>
  <c r="L34" i="8"/>
  <c r="M34" i="8" s="1"/>
  <c r="H22" i="4"/>
  <c r="G27" i="7"/>
  <c r="J27" i="7" s="1"/>
  <c r="L35" i="8"/>
  <c r="M35" i="8" s="1"/>
  <c r="H33" i="10"/>
  <c r="I35" i="6" s="1"/>
  <c r="H20" i="4"/>
  <c r="H24" i="4" s="1"/>
  <c r="D16" i="36"/>
  <c r="E17" i="36" s="1"/>
  <c r="G17" i="36" s="1"/>
  <c r="A16" i="36"/>
  <c r="A30" i="36" s="1"/>
  <c r="A31" i="36"/>
  <c r="A44" i="36" s="1"/>
  <c r="E44" i="36" s="1"/>
  <c r="E18" i="36"/>
  <c r="G18" i="36" s="1"/>
  <c r="A37" i="35"/>
  <c r="A17" i="35"/>
  <c r="A37" i="34"/>
  <c r="A17" i="34"/>
  <c r="A37" i="33"/>
  <c r="A17" i="33"/>
  <c r="M29" i="18"/>
  <c r="N16" i="15" s="1"/>
  <c r="O28" i="18"/>
  <c r="P28" i="18" s="1"/>
  <c r="M24" i="18"/>
  <c r="N15" i="15" s="1"/>
  <c r="O23" i="18"/>
  <c r="P23" i="18" s="1"/>
  <c r="A73" i="3"/>
  <c r="G73" i="3" s="1"/>
  <c r="G74" i="3"/>
  <c r="G57" i="3"/>
  <c r="A56" i="3"/>
  <c r="A65" i="3"/>
  <c r="G66" i="3"/>
  <c r="J34" i="8" l="1"/>
  <c r="J21" i="4"/>
  <c r="J35" i="8"/>
  <c r="R23" i="18"/>
  <c r="D28" i="16" s="1"/>
  <c r="O13" i="15"/>
  <c r="Q13" i="15" s="1"/>
  <c r="D15" i="15" s="1"/>
  <c r="B40" i="6"/>
  <c r="B39" i="6"/>
  <c r="C47" i="33"/>
  <c r="B47" i="33" s="1"/>
  <c r="D43" i="32"/>
  <c r="D44" i="32" s="1"/>
  <c r="D45" i="32" s="1"/>
  <c r="R28" i="18"/>
  <c r="E28" i="16" s="1"/>
  <c r="O14" i="15"/>
  <c r="Q14" i="15" s="1"/>
  <c r="G15" i="15" s="1"/>
  <c r="J22" i="4"/>
  <c r="H34" i="12"/>
  <c r="A16" i="35"/>
  <c r="A36" i="35"/>
  <c r="A16" i="34"/>
  <c r="A36" i="34"/>
  <c r="A16" i="33"/>
  <c r="A36" i="33"/>
  <c r="M25" i="18"/>
  <c r="O24" i="18"/>
  <c r="P24" i="18" s="1"/>
  <c r="M30" i="18"/>
  <c r="O29" i="18"/>
  <c r="P29" i="18" s="1"/>
  <c r="A64" i="3"/>
  <c r="G64" i="3" s="1"/>
  <c r="G65" i="3"/>
  <c r="A55" i="3"/>
  <c r="G55" i="3" s="1"/>
  <c r="G56" i="3"/>
  <c r="J24" i="4" l="1"/>
  <c r="J27" i="4" s="1"/>
  <c r="R24" i="18"/>
  <c r="D29" i="16" s="1"/>
  <c r="O15" i="15"/>
  <c r="Q15" i="15" s="1"/>
  <c r="D16" i="15" s="1"/>
  <c r="R29" i="18"/>
  <c r="E29" i="16" s="1"/>
  <c r="O16" i="15"/>
  <c r="Q16" i="15" s="1"/>
  <c r="G16" i="15" s="1"/>
  <c r="O30" i="18"/>
  <c r="P30" i="18" s="1"/>
  <c r="N18" i="15"/>
  <c r="O25" i="18"/>
  <c r="P25" i="18" s="1"/>
  <c r="N17" i="15"/>
  <c r="A35" i="35"/>
  <c r="A15" i="35"/>
  <c r="A35" i="34"/>
  <c r="A15" i="34"/>
  <c r="A35" i="33"/>
  <c r="A15" i="33"/>
  <c r="R30" i="18" l="1"/>
  <c r="E30" i="16" s="1"/>
  <c r="O18" i="15"/>
  <c r="Q18" i="15"/>
  <c r="G17" i="15" s="1"/>
  <c r="G20" i="15" s="1"/>
  <c r="Q17" i="15"/>
  <c r="D17" i="15" s="1"/>
  <c r="D20" i="15" s="1"/>
  <c r="R25" i="18"/>
  <c r="D30" i="16" s="1"/>
  <c r="O17" i="15"/>
  <c r="A14" i="35"/>
  <c r="A34" i="35"/>
  <c r="A34" i="34"/>
  <c r="A14" i="34"/>
  <c r="A14" i="33"/>
  <c r="A34" i="33"/>
  <c r="H20" i="15" l="1"/>
  <c r="F54" i="15" s="1"/>
  <c r="H54" i="15" s="1"/>
  <c r="I27" i="9" s="1"/>
  <c r="I29" i="9" s="1"/>
  <c r="A60" i="15"/>
  <c r="A13" i="35"/>
  <c r="A33" i="35"/>
  <c r="A13" i="34"/>
  <c r="A33" i="34"/>
  <c r="A13" i="33"/>
  <c r="A33" i="33"/>
  <c r="K31" i="9" l="1"/>
  <c r="I31" i="9"/>
  <c r="A32" i="35"/>
  <c r="A12" i="35"/>
  <c r="A32" i="34"/>
  <c r="A12" i="34"/>
  <c r="A32" i="33"/>
  <c r="A12" i="33"/>
  <c r="I33" i="9" l="1"/>
  <c r="I35" i="5" s="1"/>
  <c r="H17" i="4"/>
  <c r="H27" i="4" s="1"/>
  <c r="A11" i="35"/>
  <c r="A31" i="35"/>
  <c r="A11" i="34"/>
  <c r="A31" i="34"/>
  <c r="A11" i="33"/>
  <c r="A31" i="33"/>
  <c r="B40" i="5" l="1"/>
  <c r="B39" i="5"/>
  <c r="A10" i="35"/>
  <c r="A30" i="35"/>
  <c r="A10" i="34"/>
  <c r="A30" i="34"/>
  <c r="A10" i="33"/>
  <c r="A30" i="33"/>
  <c r="A29" i="35" l="1"/>
  <c r="A9" i="35"/>
  <c r="A28" i="35" s="1"/>
  <c r="A29" i="34"/>
  <c r="A9" i="34"/>
  <c r="A28" i="34" s="1"/>
  <c r="A29" i="33"/>
  <c r="A9" i="33"/>
  <c r="A28" i="33" s="1"/>
</calcChain>
</file>

<file path=xl/sharedStrings.xml><?xml version="1.0" encoding="utf-8"?>
<sst xmlns="http://schemas.openxmlformats.org/spreadsheetml/2006/main" count="1823" uniqueCount="638">
  <si>
    <t>USER NOTES: BUSINESSOWNERS ADVISORY LOSS COSTS REVIEW</t>
  </si>
  <si>
    <t>Persons to Contact</t>
  </si>
  <si>
    <t>If you experience difficulty with this spreadsheet, please first consult the help menu or your printed software documentation</t>
  </si>
  <si>
    <t>for assistance with general spreadsheet use.  Please refer to the explanatory text in the circular for explanations of the data</t>
  </si>
  <si>
    <t>and analysis on the exhibits.  If you have questions on Internet connectivity, spreadsheet functionality, or other technical</t>
  </si>
  <si>
    <r>
      <t xml:space="preserve">items, or need any further assistance, please contact </t>
    </r>
    <r>
      <rPr>
        <b/>
        <sz val="11"/>
        <rFont val="Times New Roman"/>
        <family val="1"/>
      </rPr>
      <t xml:space="preserve">Customer Support </t>
    </r>
    <r>
      <rPr>
        <sz val="11"/>
        <rFont val="Times New Roman"/>
        <family val="1"/>
      </rPr>
      <t>by calling (800) 888-4476 or e-mailing info@verisk.com.</t>
    </r>
  </si>
  <si>
    <t>How to Use This Workbook</t>
  </si>
  <si>
    <t>This workbook has been populated with the same data that underlies the loss cost review.  Where possible, the various</t>
  </si>
  <si>
    <t>sheets contained within this workbook have been linked together with formulas.</t>
  </si>
  <si>
    <r>
      <t xml:space="preserve">Manual inputs and data that has been hardcoded are indicated by using </t>
    </r>
    <r>
      <rPr>
        <sz val="11"/>
        <color indexed="12"/>
        <rFont val="Times New Roman"/>
        <family val="1"/>
      </rPr>
      <t>blue font</t>
    </r>
    <r>
      <rPr>
        <sz val="11"/>
        <rFont val="Times New Roman"/>
        <family val="1"/>
      </rPr>
      <t xml:space="preserve">. </t>
    </r>
  </si>
  <si>
    <t>Workbook Sheets</t>
  </si>
  <si>
    <t>This workbook contains the following sheets:</t>
  </si>
  <si>
    <t>Sheet Name</t>
  </si>
  <si>
    <t>Description</t>
  </si>
  <si>
    <t>User Notes</t>
  </si>
  <si>
    <t>This Sheet</t>
  </si>
  <si>
    <t>DZ_Inputs</t>
  </si>
  <si>
    <t>Review Inputs</t>
  </si>
  <si>
    <t>Exhibit A1</t>
  </si>
  <si>
    <t>Loss Cost Level Change Summary</t>
  </si>
  <si>
    <t>Exhibit A2-1</t>
  </si>
  <si>
    <t xml:space="preserve">Loss Cost Level Changes - Property </t>
  </si>
  <si>
    <t>Exhibit A2-2</t>
  </si>
  <si>
    <t xml:space="preserve">Loss Cost Level Changes - Liability Lessors/Occupants </t>
  </si>
  <si>
    <t>Exhibit A2-3</t>
  </si>
  <si>
    <t>Loss Cost Level Changes - Liability Sales and Payroll</t>
  </si>
  <si>
    <t>Exhibit A3</t>
  </si>
  <si>
    <t>Present And Revised Loss Costs</t>
  </si>
  <si>
    <t>Exhibit B1-1</t>
  </si>
  <si>
    <t>Calculation Of Statewide Advisory Loss Cost Level Change - Property</t>
  </si>
  <si>
    <t>Exhibit B1-2</t>
  </si>
  <si>
    <t>Calculation Of Statewide Advisory Loss Cost Level Change- Liability Lessors/Occupants</t>
  </si>
  <si>
    <t>Exhibit B1-3</t>
  </si>
  <si>
    <t>Calculation Of Statewide Advisory Loss Cost Level Change - Liability Sales</t>
  </si>
  <si>
    <t>Exhibit B1-4</t>
  </si>
  <si>
    <t>Calculation Of Statewide Advisory Loss Cost Level Change - Liability Payroll</t>
  </si>
  <si>
    <t>Exhibit B2-1</t>
  </si>
  <si>
    <t xml:space="preserve">Calculation Of Relative Changes - Property </t>
  </si>
  <si>
    <t>Exhibit B2-2</t>
  </si>
  <si>
    <t>Calculation Of Relative Changes - Liability Lessors/Occupants</t>
  </si>
  <si>
    <t>Exhibit B3</t>
  </si>
  <si>
    <t>Calculation Of Expected Experience Ratios</t>
  </si>
  <si>
    <t>Exhibit C1</t>
  </si>
  <si>
    <t>Summary Of Loss Trend Factors: Fire, Extended Coverage, and All Other Property</t>
  </si>
  <si>
    <t>Exhibit C2</t>
  </si>
  <si>
    <t>Development Of Current Cost Factors And Loss Projection Factors</t>
  </si>
  <si>
    <t>Exhibit C3</t>
  </si>
  <si>
    <t>Development Of Loss Trend Adjustments</t>
  </si>
  <si>
    <t>Exhibit C4-1</t>
  </si>
  <si>
    <t>Multistate Severity And Frequency Trend: Fire - Buildings</t>
  </si>
  <si>
    <t>Exhibit C4-2</t>
  </si>
  <si>
    <t>Multistate Severity And Frequency Trend: Fire - Contents</t>
  </si>
  <si>
    <t>Exhibit C4-3</t>
  </si>
  <si>
    <t>Multistate Severity Trend: Extended Coverage - Buildings</t>
  </si>
  <si>
    <t>Exhibit C4-4</t>
  </si>
  <si>
    <t>Multistate Severity Trend: Extended Coverage - Contents</t>
  </si>
  <si>
    <t>Exhibit C4-5</t>
  </si>
  <si>
    <t>Multistate Severity Trend: All Other Property - Buildings</t>
  </si>
  <si>
    <t>Exhibit C4-6</t>
  </si>
  <si>
    <t>Multistate Severity Trend: All Other Property - Contents</t>
  </si>
  <si>
    <t>Exhibit C4-7</t>
  </si>
  <si>
    <t>Multistate Severity And Frequency Trend: Burglary</t>
  </si>
  <si>
    <t>Exhibit C5</t>
  </si>
  <si>
    <t>Development Of Extended Coverage Excess Multiplier</t>
  </si>
  <si>
    <t>Exhibit C6</t>
  </si>
  <si>
    <t>Development Of All Other Property Excess Multiplier</t>
  </si>
  <si>
    <t>Exhibit C7-1</t>
  </si>
  <si>
    <t>Multistate Severity And Frequency Trend: Liability - Lessors</t>
  </si>
  <si>
    <t>Exhibit C7-2</t>
  </si>
  <si>
    <t>Multistate Severity And Frequency Trend: Liability - Occupants</t>
  </si>
  <si>
    <t>Exhibit C7-3</t>
  </si>
  <si>
    <t>Multistate Severity And Frequency Trend: Liability - Sales</t>
  </si>
  <si>
    <t>Exhibit C7-4</t>
  </si>
  <si>
    <t>Multistate Severity And Frequency Trend: Liability - Payroll</t>
  </si>
  <si>
    <t>Exhibit C8-1</t>
  </si>
  <si>
    <t>Loss Development: Liability - Lessors/Occupants</t>
  </si>
  <si>
    <t>Exhibit C8-2</t>
  </si>
  <si>
    <t>Multistate Loss Development: Liability - Lessors/Occupants</t>
  </si>
  <si>
    <t>Exhibit C8-3</t>
  </si>
  <si>
    <t>Multistate Loss Development: Liability - Sales</t>
  </si>
  <si>
    <t>Exhibit C8-4</t>
  </si>
  <si>
    <t>Multistate Loss Development: Liability - Payroll</t>
  </si>
  <si>
    <t>Exhibit C9</t>
  </si>
  <si>
    <t>Development Of Exposure Trend Factors</t>
  </si>
  <si>
    <t>Exhibit C10</t>
  </si>
  <si>
    <t>Statewide Credibility Calculation</t>
  </si>
  <si>
    <t>Exhibit C11-1</t>
  </si>
  <si>
    <t>Development of Loss Adjustment Expense Factors - Fire and Allied Lines</t>
  </si>
  <si>
    <t>Exhibit C11-2</t>
  </si>
  <si>
    <t>Development of Loss Adjustment Expense Factors - Burglary</t>
  </si>
  <si>
    <t>Exhibit C11-3</t>
  </si>
  <si>
    <t>Development of Loss Adjustment Expense Factors - Liability</t>
  </si>
  <si>
    <t>Exhibit D1</t>
  </si>
  <si>
    <t>Windstorm or Hail Exclusion Credits</t>
  </si>
  <si>
    <t>Printing</t>
  </si>
  <si>
    <t>Exhibits printed from this workbook may differ in appearance from the printed exhibits in the published circular depending on</t>
  </si>
  <si>
    <t xml:space="preserve">your choice of software, printer driver, or printer.  </t>
  </si>
  <si>
    <t>State:</t>
  </si>
  <si>
    <t>Data Included Through:</t>
  </si>
  <si>
    <t>Latest Loss Cost Effective Date:</t>
  </si>
  <si>
    <t>Assumed Effective Date:</t>
  </si>
  <si>
    <t>Loss Development Factors</t>
  </si>
  <si>
    <t>LAE Factors</t>
  </si>
  <si>
    <t xml:space="preserve">Fire </t>
  </si>
  <si>
    <t>Extended Coverage</t>
  </si>
  <si>
    <t>All Other Property</t>
  </si>
  <si>
    <t>Burglary and Theft</t>
  </si>
  <si>
    <t>Liability</t>
  </si>
  <si>
    <t>Loss Trend Factors</t>
  </si>
  <si>
    <t>Year</t>
  </si>
  <si>
    <r>
      <t xml:space="preserve">Midpoint of Historical </t>
    </r>
    <r>
      <rPr>
        <u/>
        <sz val="11"/>
        <color theme="1"/>
        <rFont val="Times New Roman"/>
        <family val="1"/>
      </rPr>
      <t>Experience</t>
    </r>
  </si>
  <si>
    <r>
      <t xml:space="preserve">Average Prospective </t>
    </r>
    <r>
      <rPr>
        <u/>
        <sz val="11"/>
        <color theme="1"/>
        <rFont val="Times New Roman"/>
        <family val="1"/>
      </rPr>
      <t>Accident Date</t>
    </r>
    <r>
      <rPr>
        <sz val="11"/>
        <color theme="1"/>
        <rFont val="Times New Roman"/>
        <family val="1"/>
      </rPr>
      <t xml:space="preserve"> </t>
    </r>
  </si>
  <si>
    <r>
      <t xml:space="preserve">Trend Period </t>
    </r>
    <r>
      <rPr>
        <u/>
        <sz val="11"/>
        <color theme="1"/>
        <rFont val="Times New Roman"/>
        <family val="1"/>
      </rPr>
      <t>(Months)</t>
    </r>
  </si>
  <si>
    <r>
      <t xml:space="preserve">Trend Period </t>
    </r>
    <r>
      <rPr>
        <u/>
        <sz val="11"/>
        <color theme="1"/>
        <rFont val="Times New Roman"/>
        <family val="1"/>
      </rPr>
      <t>(Years)</t>
    </r>
  </si>
  <si>
    <t>Internal Trend Selections</t>
  </si>
  <si>
    <t>Selected Severity Trend</t>
  </si>
  <si>
    <t>Selected Frequency Trend</t>
  </si>
  <si>
    <t>Fire - Buildings</t>
  </si>
  <si>
    <t>Fire - Contents</t>
  </si>
  <si>
    <t>EC - Buildings</t>
  </si>
  <si>
    <t>EC - Contents</t>
  </si>
  <si>
    <t>AOP - Buildings</t>
  </si>
  <si>
    <t>AOP - Contents</t>
  </si>
  <si>
    <t>Burglary</t>
  </si>
  <si>
    <t>Liability - Lessors</t>
  </si>
  <si>
    <t>Liability - Occupants</t>
  </si>
  <si>
    <t>Liability - Sales</t>
  </si>
  <si>
    <t>Liability - Payroll</t>
  </si>
  <si>
    <t>Building LTA Calculation</t>
  </si>
  <si>
    <t>Contents LTA Calculation</t>
  </si>
  <si>
    <t>Annual External Trend</t>
  </si>
  <si>
    <t>Annual Internal Trend</t>
  </si>
  <si>
    <t>Severity LTA</t>
  </si>
  <si>
    <t>Frequency LTA</t>
  </si>
  <si>
    <t>Fire</t>
  </si>
  <si>
    <t>EC</t>
  </si>
  <si>
    <t>AOP</t>
  </si>
  <si>
    <t>Fire Final Factors</t>
  </si>
  <si>
    <t>Buildings</t>
  </si>
  <si>
    <t>Contents</t>
  </si>
  <si>
    <t>CCF</t>
  </si>
  <si>
    <t>LPF</t>
  </si>
  <si>
    <t>Annual Severity LTA</t>
  </si>
  <si>
    <t>Annual Frequency LTA</t>
  </si>
  <si>
    <t>EC Final Factors</t>
  </si>
  <si>
    <t>AOP Final Factors</t>
  </si>
  <si>
    <t>Burglary Final Factors</t>
  </si>
  <si>
    <t>Annual Severity
 LTA</t>
  </si>
  <si>
    <t>Liability Final Factors</t>
  </si>
  <si>
    <t>Lessors Annual LTA</t>
  </si>
  <si>
    <t>Occupants Annual LTA</t>
  </si>
  <si>
    <t>Sales
 Annual LTA</t>
  </si>
  <si>
    <t>Payroll 
Annual LTA</t>
  </si>
  <si>
    <t>BUSINESSOWNERS</t>
  </si>
  <si>
    <t>EXHIBIT A1</t>
  </si>
  <si>
    <t>LOSS COST LEVEL CHANGE SUMMARY</t>
  </si>
  <si>
    <t>Statewide</t>
  </si>
  <si>
    <t>Aggregate Loss Costs</t>
  </si>
  <si>
    <t>at Current Level</t>
  </si>
  <si>
    <t>Loss Cost Level Change</t>
  </si>
  <si>
    <t>Ind.</t>
  </si>
  <si>
    <t>Filed</t>
  </si>
  <si>
    <t>Property Total</t>
  </si>
  <si>
    <t>Lessors/Occupants</t>
  </si>
  <si>
    <t>Sales</t>
  </si>
  <si>
    <t>Payroll</t>
  </si>
  <si>
    <t>Liability Total</t>
  </si>
  <si>
    <t>GRAND TOTAL</t>
  </si>
  <si>
    <t>EXHIBIT A2-1</t>
  </si>
  <si>
    <t>LOSS COST LEVEL CHANGES</t>
  </si>
  <si>
    <t>PROPERTY</t>
  </si>
  <si>
    <t>Loss Cost</t>
  </si>
  <si>
    <t>Territory</t>
  </si>
  <si>
    <t>Level Changes</t>
  </si>
  <si>
    <t xml:space="preserve"> </t>
  </si>
  <si>
    <t>Statewide Total</t>
  </si>
  <si>
    <t>Business Pers. Prop.</t>
  </si>
  <si>
    <t>All Property</t>
  </si>
  <si>
    <t>EXHIBIT A2-2</t>
  </si>
  <si>
    <t>LIABILITY</t>
  </si>
  <si>
    <t>Lessors</t>
  </si>
  <si>
    <t>Occupants</t>
  </si>
  <si>
    <t>EXHIBIT A2-3</t>
  </si>
  <si>
    <t>LIABILITY-SALES</t>
  </si>
  <si>
    <t>LIABILITY-PAYROLL</t>
  </si>
  <si>
    <t>Indicated Loss Cost</t>
  </si>
  <si>
    <t>Selected Loss Cost</t>
  </si>
  <si>
    <t>Level Changes (a)</t>
  </si>
  <si>
    <t>(a) The Payroll Selected Loss Cost Level Change includes the 0.935 offset to introduce the</t>
  </si>
  <si>
    <t xml:space="preserve">   change in payroll amount for executive officers, individual insureds or copartners on a</t>
  </si>
  <si>
    <t xml:space="preserve">   revenue neutral basis.</t>
  </si>
  <si>
    <t>EXHIBIT A3</t>
  </si>
  <si>
    <t>PRESENT AND REVISED LOSS COSTS</t>
  </si>
  <si>
    <t>PRESENT LOSS COSTS</t>
  </si>
  <si>
    <t>REVISED LOSS COSTS</t>
  </si>
  <si>
    <t>Business</t>
  </si>
  <si>
    <t>Personal</t>
  </si>
  <si>
    <t>Property</t>
  </si>
  <si>
    <t>Indicated</t>
  </si>
  <si>
    <t>Selected (a)</t>
  </si>
  <si>
    <t xml:space="preserve">     (a) The offset factor of 0.935 has been applied to the selected Payroll revised loss costs to introduce</t>
  </si>
  <si>
    <t xml:space="preserve">          the change in payroll amount for executive officers, individual insureds or copartners on a revenue</t>
  </si>
  <si>
    <t xml:space="preserve">          neutral basis.</t>
  </si>
  <si>
    <t>BUSINESSOWNERS - PROPERTY</t>
  </si>
  <si>
    <t>EXHIBIT B1-1</t>
  </si>
  <si>
    <t>CALCULATION OF STATEWIDE ADVISORY LOSS COST LEVEL CHANGE</t>
  </si>
  <si>
    <t>(1)</t>
  </si>
  <si>
    <t>(2)</t>
  </si>
  <si>
    <t>(3)</t>
  </si>
  <si>
    <t>(3a)</t>
  </si>
  <si>
    <t>(3b)</t>
  </si>
  <si>
    <t>(3c)</t>
  </si>
  <si>
    <t>(3d)</t>
  </si>
  <si>
    <t>Incurred</t>
  </si>
  <si>
    <t>Fiscal</t>
  </si>
  <si>
    <t>Aggregate</t>
  </si>
  <si>
    <t>Losses and</t>
  </si>
  <si>
    <t>Loss Costs at</t>
  </si>
  <si>
    <t>Loss Adjustment</t>
  </si>
  <si>
    <t>Experience</t>
  </si>
  <si>
    <t>Partial Experience Ratios</t>
  </si>
  <si>
    <t>Ending</t>
  </si>
  <si>
    <t>Current Level</t>
  </si>
  <si>
    <t>Expenses</t>
  </si>
  <si>
    <t>Ratio</t>
  </si>
  <si>
    <t>Burg</t>
  </si>
  <si>
    <t>Weights</t>
  </si>
  <si>
    <t>(4)</t>
  </si>
  <si>
    <t>Weighted Experience Ratio</t>
  </si>
  <si>
    <t xml:space="preserve">          =</t>
  </si>
  <si>
    <t>(5)</t>
  </si>
  <si>
    <t>Credibility</t>
  </si>
  <si>
    <t>(6)</t>
  </si>
  <si>
    <t>Expected Experience Ratio</t>
  </si>
  <si>
    <t>(7)</t>
  </si>
  <si>
    <t>Credibility-Wtd. Experience Ratio</t>
  </si>
  <si>
    <t>(8)</t>
  </si>
  <si>
    <t xml:space="preserve">or </t>
  </si>
  <si>
    <t>(9)</t>
  </si>
  <si>
    <t>Selected Loss Cost Level Change</t>
  </si>
  <si>
    <t>BUSINESSOWNERS - LIABILITY LESSORS &amp; OCCUPANTS</t>
  </si>
  <si>
    <t>EXHIBIT B1-2</t>
  </si>
  <si>
    <t xml:space="preserve">=   </t>
  </si>
  <si>
    <t>Indicated Loss Cost Level Change</t>
  </si>
  <si>
    <t>BUSINESSOWNERS - LIABILITY SALES</t>
  </si>
  <si>
    <t>EXHIBIT B1-3</t>
  </si>
  <si>
    <t>Multistate</t>
  </si>
  <si>
    <t>BUSINESSOWNERS - LIABILITY PAYROLL</t>
  </si>
  <si>
    <t>EXHIBIT B1-4</t>
  </si>
  <si>
    <t>EXHIBIT B2-1</t>
  </si>
  <si>
    <t>CALCULATION OF RELATIVE CHANGES</t>
  </si>
  <si>
    <t>(10)</t>
  </si>
  <si>
    <t>5-YEAR</t>
  </si>
  <si>
    <t>BALANCED</t>
  </si>
  <si>
    <t>AGGREGATE</t>
  </si>
  <si>
    <t>MINIMUM</t>
  </si>
  <si>
    <t>CREDI-</t>
  </si>
  <si>
    <t>FINAL</t>
  </si>
  <si>
    <t>LOSS COST</t>
  </si>
  <si>
    <t>EXPERIENCE</t>
  </si>
  <si>
    <t>BIAS</t>
  </si>
  <si>
    <t>BILITY</t>
  </si>
  <si>
    <t>AT CURRENT</t>
  </si>
  <si>
    <t>ADJUSTED</t>
  </si>
  <si>
    <t>RATIO</t>
  </si>
  <si>
    <t>RELATIVITY</t>
  </si>
  <si>
    <t>RELATIVE</t>
  </si>
  <si>
    <t>EARNED</t>
  </si>
  <si>
    <t>WEIGHTED</t>
  </si>
  <si>
    <t>INDICATED</t>
  </si>
  <si>
    <t>TERRITORY</t>
  </si>
  <si>
    <t>LEVEL</t>
  </si>
  <si>
    <t>LOSSES</t>
  </si>
  <si>
    <t>(2) / (1)</t>
  </si>
  <si>
    <t>(3) / ToT(3)</t>
  </si>
  <si>
    <t>CHANGE</t>
  </si>
  <si>
    <t>RISKS</t>
  </si>
  <si>
    <t>TOTAL</t>
  </si>
  <si>
    <t>Bus. Pers. Prop.</t>
  </si>
  <si>
    <t>BUSINESSOWNERS - LIABILITY</t>
  </si>
  <si>
    <t>EXHIBIT B2-2</t>
  </si>
  <si>
    <t>EXHIBIT B3</t>
  </si>
  <si>
    <t>CALCULATION OF EXPECTED EXPERIENCE RATIOS</t>
  </si>
  <si>
    <t>LOSS TREND</t>
  </si>
  <si>
    <t>Trend</t>
  </si>
  <si>
    <t>TOL Group</t>
  </si>
  <si>
    <t>Coverage</t>
  </si>
  <si>
    <t>Annual Change</t>
  </si>
  <si>
    <t>Total</t>
  </si>
  <si>
    <t>Adjusted Losses</t>
  </si>
  <si>
    <t>Factor</t>
  </si>
  <si>
    <t>BPP</t>
  </si>
  <si>
    <t>Trend Factor</t>
  </si>
  <si>
    <t xml:space="preserve">Lessors </t>
  </si>
  <si>
    <t>Projection Period</t>
  </si>
  <si>
    <t>Date of Last Approval:</t>
  </si>
  <si>
    <t>AOI Lessors &amp; Occupants</t>
  </si>
  <si>
    <t>Projection Period (months):</t>
  </si>
  <si>
    <t>PREMIUM TREND</t>
  </si>
  <si>
    <t>ANNUAL NET TRENDS (LOSS TREND/PREMIUM TREND)</t>
  </si>
  <si>
    <t>Expected</t>
  </si>
  <si>
    <t>Annual Net</t>
  </si>
  <si>
    <t>Ratio (a)</t>
  </si>
  <si>
    <t>ALL PROPERTY</t>
  </si>
  <si>
    <t>LIABILITY - AOI LESSORS AND OCCUPANTS</t>
  </si>
  <si>
    <t xml:space="preserve">LIABILITY - SALES </t>
  </si>
  <si>
    <t xml:space="preserve">LIABILITY - PAYROLL </t>
  </si>
  <si>
    <t>EXHIBIT C1</t>
  </si>
  <si>
    <t>SUMMARY OF LOSS TREND FACTORS</t>
  </si>
  <si>
    <t>FIRE, EXTENDED COVERAGE, AND ALL OTHER PROPERTY</t>
  </si>
  <si>
    <t>Current Cost Factors *</t>
  </si>
  <si>
    <t>Loss Projection Factor**</t>
  </si>
  <si>
    <t>Annual Loss Trend Adjustments</t>
  </si>
  <si>
    <t>*</t>
  </si>
  <si>
    <t>Adjusts losses for inflationary changes which have taken place between the actual accident</t>
  </si>
  <si>
    <t>date and the midpoint of the latest period of external trend information.</t>
  </si>
  <si>
    <t>**</t>
  </si>
  <si>
    <t>Adjusts losses for the projected inflationary changes from the midpoint of the latest period</t>
  </si>
  <si>
    <t>of external trend information to the anticipated average accident date for policies written</t>
  </si>
  <si>
    <t>under the proposed loss costs.</t>
  </si>
  <si>
    <t>EXHIBIT C2</t>
  </si>
  <si>
    <t>DEVELOPMENT OF CURRENT COST FACTORS AND LOSS PROJECTION FACTORS</t>
  </si>
  <si>
    <t>Part A: Quarterly Indices for Buildings and Contents</t>
  </si>
  <si>
    <t>Buildings -</t>
  </si>
  <si>
    <t>Xactware Commercial Index (XCI) (Base: 2008 = 100.0)</t>
  </si>
  <si>
    <t>Contents -</t>
  </si>
  <si>
    <t>Producer Price Index (PPI) - U.S. Dept. of Labor,</t>
  </si>
  <si>
    <t>(Finished Goods Less Energy) (Base: 2008 = 100.0)</t>
  </si>
  <si>
    <t>Quarter</t>
  </si>
  <si>
    <t>Trend Period Calculation</t>
  </si>
  <si>
    <t>XCI</t>
  </si>
  <si>
    <t>PPI</t>
  </si>
  <si>
    <t>Trend Effective date</t>
  </si>
  <si>
    <t>Latest 3-month trend experience period start</t>
  </si>
  <si>
    <t>Latest 3-month trend experience period end</t>
  </si>
  <si>
    <t>Midpoint of the latest trend experience period</t>
  </si>
  <si>
    <t>Average loss date</t>
  </si>
  <si>
    <t>Trend period (months)</t>
  </si>
  <si>
    <t>Trend period (years)</t>
  </si>
  <si>
    <t>Part B: Calculation of Current Cost Factors (CCF)</t>
  </si>
  <si>
    <t xml:space="preserve">                              Current Cost Factors to</t>
  </si>
  <si>
    <t xml:space="preserve">     Year Ending Averages</t>
  </si>
  <si>
    <t>Year Ending</t>
  </si>
  <si>
    <t>Buildings*</t>
  </si>
  <si>
    <t>Contents*</t>
  </si>
  <si>
    <t>*The CCF's for Buildings are calculated using the latest point.  The CCF's for Contents are calculated</t>
  </si>
  <si>
    <t xml:space="preserve">  using a 67% / 33% weighted average of the latest two quarter ending points.</t>
  </si>
  <si>
    <t>Part C: Computation of Loss Projection Factors</t>
  </si>
  <si>
    <t>Annual Rate of Change</t>
  </si>
  <si>
    <t>EXHIBIT C3</t>
  </si>
  <si>
    <t>EXHIBIT C3 (Cont'd)</t>
  </si>
  <si>
    <t>DEVELOPMENT OF LOSS TREND ADJUSTMENT (LTA)</t>
  </si>
  <si>
    <t>BOP SEVERITY AND FREQUENCY USING EXPOSURES</t>
  </si>
  <si>
    <t>I. EXTERNAL RATE OF CHANGE</t>
  </si>
  <si>
    <t>BUILDINGS</t>
  </si>
  <si>
    <t>CONTENTS</t>
  </si>
  <si>
    <t>III. LTA CALCULATION</t>
  </si>
  <si>
    <t>Trend Period Calculations</t>
  </si>
  <si>
    <t>(2a)</t>
  </si>
  <si>
    <t>(2b)</t>
  </si>
  <si>
    <t>Fire, EC and AOP</t>
  </si>
  <si>
    <t>Current</t>
  </si>
  <si>
    <t>Latest 3-month trend experience period</t>
  </si>
  <si>
    <t>Cost Factors</t>
  </si>
  <si>
    <t>(11)</t>
  </si>
  <si>
    <t>(12)</t>
  </si>
  <si>
    <t>Severity</t>
  </si>
  <si>
    <t>Formula</t>
  </si>
  <si>
    <t>Final</t>
  </si>
  <si>
    <t>Weighted midpoint of experience period</t>
  </si>
  <si>
    <t>Annual</t>
  </si>
  <si>
    <t>LTA</t>
  </si>
  <si>
    <t>Frequency</t>
  </si>
  <si>
    <t xml:space="preserve">Pojection period from midpoint of latest quarter </t>
  </si>
  <si>
    <t>External</t>
  </si>
  <si>
    <t>Internal</t>
  </si>
  <si>
    <t>(8) / (7)</t>
  </si>
  <si>
    <t>LTA (c)</t>
  </si>
  <si>
    <t>Effect</t>
  </si>
  <si>
    <t>(10) x (11)</t>
  </si>
  <si>
    <t>of external trend to average accident date</t>
  </si>
  <si>
    <t xml:space="preserve">Pojection period from weighted midpoint of </t>
  </si>
  <si>
    <t>experience period to average accident date</t>
  </si>
  <si>
    <t>Average CCF for Fire, EC and AOP</t>
  </si>
  <si>
    <t>(4a)</t>
  </si>
  <si>
    <t>(4b)</t>
  </si>
  <si>
    <t>Projection Period (a)</t>
  </si>
  <si>
    <t>(4c)</t>
  </si>
  <si>
    <t>Loss Projection Factor (LPF)</t>
  </si>
  <si>
    <t>(1 + (4a)) ^ ((4b) / 12)</t>
  </si>
  <si>
    <t>(5a)</t>
  </si>
  <si>
    <t>Total Trend (3) x (4c)</t>
  </si>
  <si>
    <t>(5b)</t>
  </si>
  <si>
    <t>Projection Period (b)</t>
  </si>
  <si>
    <t>(5c)</t>
  </si>
  <si>
    <t>Annualized Total Trend for Fire, EC and AOP</t>
  </si>
  <si>
    <t>(5a) ^ (12 / (5b))</t>
  </si>
  <si>
    <t>II. INTERNAL ANNUAL RATE OF CHANGE</t>
  </si>
  <si>
    <t>(c)</t>
  </si>
  <si>
    <t>The formula LTA is calculated as two-thirds of the indicated LTA.  This is equivalent to</t>
  </si>
  <si>
    <t>calculating the overall severity trend giving 33% weight to the external trend and 67% weight</t>
  </si>
  <si>
    <t>Selected BOP</t>
  </si>
  <si>
    <t>to the selected internal trend.</t>
  </si>
  <si>
    <t>(a)</t>
  </si>
  <si>
    <t>(b)</t>
  </si>
  <si>
    <t>EXHIBIT C4-1</t>
  </si>
  <si>
    <t>FIRE - BUILDINGS</t>
  </si>
  <si>
    <t>MULTISTATE SEVERITY AND FREQUENCY TREND</t>
  </si>
  <si>
    <t>Occurrence</t>
  </si>
  <si>
    <t xml:space="preserve">Accident </t>
  </si>
  <si>
    <t xml:space="preserve">Trended </t>
  </si>
  <si>
    <t xml:space="preserve">Normal </t>
  </si>
  <si>
    <t xml:space="preserve">Incurred </t>
  </si>
  <si>
    <t>Cost</t>
  </si>
  <si>
    <t>Occurence</t>
  </si>
  <si>
    <t>Exposures</t>
  </si>
  <si>
    <t>Losses</t>
  </si>
  <si>
    <t>Occurences</t>
  </si>
  <si>
    <t>(Total)</t>
  </si>
  <si>
    <t>(Normal)</t>
  </si>
  <si>
    <t>Frequency*</t>
  </si>
  <si>
    <t>Total Losses</t>
  </si>
  <si>
    <t>R-Squared</t>
  </si>
  <si>
    <t xml:space="preserve"> Frequency</t>
  </si>
  <si>
    <t>Observed annual rate of change (10 years) =</t>
  </si>
  <si>
    <t>Observed annual rate of change (8 years)   =</t>
  </si>
  <si>
    <t>Observed annual rate of change (6 years)   =</t>
  </si>
  <si>
    <t>Normal Losses</t>
  </si>
  <si>
    <t>Selected annual rate of change                    =</t>
  </si>
  <si>
    <t>* in 100,000's</t>
  </si>
  <si>
    <t xml:space="preserve">   </t>
  </si>
  <si>
    <t>EXHIBIT C4-2</t>
  </si>
  <si>
    <t>FIRE - CONTENTS</t>
  </si>
  <si>
    <t>EXHIBIT C4-3</t>
  </si>
  <si>
    <t>EXTENDED COVERAGE - BUILDINGS</t>
  </si>
  <si>
    <t>MULTISTATE SEVERITY TREND</t>
  </si>
  <si>
    <t>R-squared</t>
  </si>
  <si>
    <t>EXHIBIT C4-4</t>
  </si>
  <si>
    <t>EXTENDED COVERAGE - CONTENTS</t>
  </si>
  <si>
    <t>EXHIBIT C4-5</t>
  </si>
  <si>
    <t>ALL OTHER PROPERTY - BUILDINGS</t>
  </si>
  <si>
    <t>EXHIBIT C4-6</t>
  </si>
  <si>
    <t>ALL OTHER PROPERTY - CONTENTS</t>
  </si>
  <si>
    <t>EXHIBIT C4-7</t>
  </si>
  <si>
    <t>BURGLARY</t>
  </si>
  <si>
    <t>EXHIBIT C5</t>
  </si>
  <si>
    <t>DEVELOPMENT OF EXTENDED COVERAGE EXCESS MULTIPLIER</t>
  </si>
  <si>
    <t>STATE</t>
  </si>
  <si>
    <t>REGIONAL</t>
  </si>
  <si>
    <t>NORMAL</t>
  </si>
  <si>
    <t>EXCESS</t>
  </si>
  <si>
    <t>YEAR</t>
  </si>
  <si>
    <t>INCURRED</t>
  </si>
  <si>
    <t>LOSS</t>
  </si>
  <si>
    <t>ENDING</t>
  </si>
  <si>
    <t>PREMIUMS</t>
  </si>
  <si>
    <t>TOTALS</t>
  </si>
  <si>
    <t>(7) STATE EXCESS COMPONENT =  ( TOTAL (5)  /  TOTAL (4) )</t>
  </si>
  <si>
    <t>(8) REGIONAL EXCESS COMPONENT</t>
  </si>
  <si>
    <t>(9) STATE EXCESS MULTIPLIER =  ( 1 + (7) )  x  ( 1 + (8) )</t>
  </si>
  <si>
    <t>EXHIBIT C6</t>
  </si>
  <si>
    <t>DEVELOPMENT OF ALL OTHER PROPERTY EXCESS MULTIPLIER</t>
  </si>
  <si>
    <t>(6) STATE EXCESS COMPONENT =  ( TOTAL (5)  /  TOTAL (4) )</t>
  </si>
  <si>
    <t>(7) STATE EXCESS MULTIPLIER =  ( 1 + (6) )</t>
  </si>
  <si>
    <t>EXHIBIT C7-1</t>
  </si>
  <si>
    <t>LIABILITY - LESSORS</t>
  </si>
  <si>
    <t>Paid</t>
  </si>
  <si>
    <t>Losses*</t>
  </si>
  <si>
    <t>Occurences**</t>
  </si>
  <si>
    <t>Frequency***</t>
  </si>
  <si>
    <t>Observed annual rate of change (10 years)       =</t>
  </si>
  <si>
    <t>Observed annual rate of change (8 years)         =</t>
  </si>
  <si>
    <t>Observed annual rate of change (6 years)         =</t>
  </si>
  <si>
    <t>Selected annual rate of change                          =</t>
  </si>
  <si>
    <t>* Includes basic indemnity and allocated loss adjustment expense developed separately to an ultimate</t>
  </si>
  <si>
    <t xml:space="preserve">   settlement basis.</t>
  </si>
  <si>
    <t>** Developed to an ultimate settlement basis.</t>
  </si>
  <si>
    <t>*** in 100,000's</t>
  </si>
  <si>
    <t>EXHIBIT C7-2</t>
  </si>
  <si>
    <t>LIABILITY - OCCUPANTS</t>
  </si>
  <si>
    <t>EXHIBIT C7-3</t>
  </si>
  <si>
    <t>LIABILITY - SALES</t>
  </si>
  <si>
    <t>EXHIBIT C7-4</t>
  </si>
  <si>
    <t>LIABILITY - PAYROLL</t>
  </si>
  <si>
    <t>EXHIBIT C8-1</t>
  </si>
  <si>
    <t xml:space="preserve"> LOSS DEVELOPMENT</t>
  </si>
  <si>
    <t>$ 300,000 LIMIT INCURRED LOSSES AS OF:</t>
  </si>
  <si>
    <t>LINK RATIOS</t>
  </si>
  <si>
    <t>15 MONTHS</t>
  </si>
  <si>
    <t>27 MONTHS</t>
  </si>
  <si>
    <t>39 MONTHS</t>
  </si>
  <si>
    <t>27:15</t>
  </si>
  <si>
    <t>39:27</t>
  </si>
  <si>
    <t>Average Best 3 of 5</t>
  </si>
  <si>
    <t>(A) Statewide</t>
  </si>
  <si>
    <t>(B) Multistate</t>
  </si>
  <si>
    <t>Credibility Weighted Average</t>
  </si>
  <si>
    <t>Summary of Factors</t>
  </si>
  <si>
    <t>63 to Ultimate**</t>
  </si>
  <si>
    <t>51 to Ultimate**</t>
  </si>
  <si>
    <t>39 to Ultimate**</t>
  </si>
  <si>
    <t>27 to Ultimate</t>
  </si>
  <si>
    <t>15 to Ultimate</t>
  </si>
  <si>
    <t>**Multistate</t>
  </si>
  <si>
    <t>EXHIBIT C8-2</t>
  </si>
  <si>
    <t>MULTISTATE LOSS DEVELOPMENT</t>
  </si>
  <si>
    <t>LIABILITY - LESSORS/OCCUPANTS</t>
  </si>
  <si>
    <t>51 MONTHS</t>
  </si>
  <si>
    <t>63 MONTHS</t>
  </si>
  <si>
    <t>75 MONTHS</t>
  </si>
  <si>
    <t>87 MONTHS</t>
  </si>
  <si>
    <t>99 MONTHS</t>
  </si>
  <si>
    <t>111 MONTHS</t>
  </si>
  <si>
    <t>123 MONTHS</t>
  </si>
  <si>
    <t>LINKRATIOS</t>
  </si>
  <si>
    <t>51:39</t>
  </si>
  <si>
    <t>63:51</t>
  </si>
  <si>
    <t>75:63</t>
  </si>
  <si>
    <t>87:75</t>
  </si>
  <si>
    <t>99:87</t>
  </si>
  <si>
    <t>111:99</t>
  </si>
  <si>
    <t>123:111</t>
  </si>
  <si>
    <t>BEST</t>
  </si>
  <si>
    <t>3 OF 5</t>
  </si>
  <si>
    <t>15 to Ult.</t>
  </si>
  <si>
    <t>27 to Ult.</t>
  </si>
  <si>
    <t>39 to Ult.</t>
  </si>
  <si>
    <t>51 to Ult.</t>
  </si>
  <si>
    <t>63 to Ult.</t>
  </si>
  <si>
    <t>75 to Ult.</t>
  </si>
  <si>
    <t>87 to Ult.</t>
  </si>
  <si>
    <t>99 to Ult.</t>
  </si>
  <si>
    <t>111 to Ult.</t>
  </si>
  <si>
    <t>FACTORS</t>
  </si>
  <si>
    <t>EXHIBIT C8-3</t>
  </si>
  <si>
    <t>EXHIBIT C8-4</t>
  </si>
  <si>
    <t>EXHIBIT C9</t>
  </si>
  <si>
    <t>DEVELOPMENT OF EXPOSURE TREND FACTORS</t>
  </si>
  <si>
    <t>Calendar Yr.</t>
  </si>
  <si>
    <t>Fiscal Yr.</t>
  </si>
  <si>
    <t>Exposure</t>
  </si>
  <si>
    <t>Trend Information</t>
  </si>
  <si>
    <t>Written</t>
  </si>
  <si>
    <t>Projection</t>
  </si>
  <si>
    <t>Calendar year weight (previous year)</t>
  </si>
  <si>
    <t>Increase</t>
  </si>
  <si>
    <t>Factors</t>
  </si>
  <si>
    <t>Factors(a)</t>
  </si>
  <si>
    <t>Calendar year weight (current year)</t>
  </si>
  <si>
    <t>Mid point of the latest year in historical BOP data</t>
  </si>
  <si>
    <t>Average date of writing</t>
  </si>
  <si>
    <t>Exposure trend period</t>
  </si>
  <si>
    <t>(13)</t>
  </si>
  <si>
    <t>(14)</t>
  </si>
  <si>
    <t>Selected Average</t>
  </si>
  <si>
    <t>Annual Trend(b)</t>
  </si>
  <si>
    <t>(a)  Fiscal Year Ending June 30.</t>
  </si>
  <si>
    <t>(b)  Derived from data supplied by Moody's Analytics.</t>
  </si>
  <si>
    <t>EXHIBIT C10</t>
  </si>
  <si>
    <t>STATEWIDE CREDIBILITY CALCULATION</t>
  </si>
  <si>
    <t>Liability L/O</t>
  </si>
  <si>
    <t>Full credibility occurrence standard for frequency with (P, K) = (95%, 5%)</t>
  </si>
  <si>
    <t>Severity modification factor</t>
  </si>
  <si>
    <t>Full credibility occurrence standard adjusted for severity ((1) X (2))</t>
  </si>
  <si>
    <t>Selected credibility occurrence standard adjusted for severity</t>
  </si>
  <si>
    <t>Multistate five year ratio of earned risks to occurrences</t>
  </si>
  <si>
    <t>Full credibility earned risks standard ((4) X (5))</t>
  </si>
  <si>
    <t>Five year earned risks</t>
  </si>
  <si>
    <r>
      <t>Statewide credibility [(7)/(6)]</t>
    </r>
    <r>
      <rPr>
        <vertAlign val="superscript"/>
        <sz val="10"/>
        <color theme="1"/>
        <rFont val="Times New Roman"/>
        <family val="1"/>
      </rPr>
      <t>1/2</t>
    </r>
  </si>
  <si>
    <t>EXHIBIT C11-1</t>
  </si>
  <si>
    <t>Fire and Allied Lines Insurance</t>
  </si>
  <si>
    <t xml:space="preserve">Multistate Expense Experience </t>
  </si>
  <si>
    <t>Loss Adjustment Expense-IEE *</t>
  </si>
  <si>
    <t>(1) Fire</t>
  </si>
  <si>
    <t xml:space="preserve">  (a) Direct Losses</t>
  </si>
  <si>
    <t>Agency</t>
  </si>
  <si>
    <t xml:space="preserve">        Incurred</t>
  </si>
  <si>
    <t>Direct</t>
  </si>
  <si>
    <t>Combined</t>
  </si>
  <si>
    <t xml:space="preserve">  (b) Direct Loss</t>
  </si>
  <si>
    <t xml:space="preserve">        Adjustment </t>
  </si>
  <si>
    <t xml:space="preserve">        Expenses Incurred</t>
  </si>
  <si>
    <t>(2) Allied Lines**</t>
  </si>
  <si>
    <t>Incurred Percentages**</t>
  </si>
  <si>
    <t>Selected Factor</t>
  </si>
  <si>
    <t xml:space="preserve">(3) Loss Adjustment </t>
  </si>
  <si>
    <t xml:space="preserve">        Expense as Ratio to</t>
  </si>
  <si>
    <t xml:space="preserve">        Losses Incurred</t>
  </si>
  <si>
    <t xml:space="preserve">   (a) Fire</t>
  </si>
  <si>
    <t xml:space="preserve">        (1b)/(1a)</t>
  </si>
  <si>
    <t xml:space="preserve">   (b) Allied Lines</t>
  </si>
  <si>
    <t xml:space="preserve">        (2b)/(2a)</t>
  </si>
  <si>
    <t>NOTE: All dollar amounts displayed in thousands.</t>
  </si>
  <si>
    <t>* Items (1)&amp;(2) are from the Insurance Exhibit Information compiled by A.M. Best.</t>
  </si>
  <si>
    <t>** Incurred percentages have been calculated on a direct basis, rather than net of reinsurance.</t>
  </si>
  <si>
    <t>EXHIBIT C11-2</t>
  </si>
  <si>
    <t>Loss Adjustment Expense-IEE</t>
  </si>
  <si>
    <t>Agency and Direct Writers Combined*</t>
  </si>
  <si>
    <t>Direct Losses Incurred</t>
  </si>
  <si>
    <t>Direct Loss Adjustment Expense Incurred</t>
  </si>
  <si>
    <t>Loss Adj. Expenses Incurred as a ratio to Losses Incurred
[(2)/(1)]</t>
  </si>
  <si>
    <t>* Items (1) &amp; (2) are from the Insurance Exhibit Information compiled by A.M Best.</t>
  </si>
  <si>
    <t>EXHIBIT C11-3</t>
  </si>
  <si>
    <t>General Liability Excluding Medical Professional Liability</t>
  </si>
  <si>
    <t>Loss Adjustment Expense Special Call*</t>
  </si>
  <si>
    <t>Allocated Loss Adjustment Expenses Incurred</t>
  </si>
  <si>
    <t>Unallocated Loss Adjustment Expenses Incurred</t>
  </si>
  <si>
    <t>Unallocated Loss Adjustment Expenses as Ratio to Losses + Allocated Loss Adjustment Expense 
(3)/[(1)+(2)]</t>
  </si>
  <si>
    <t>Ten Years of Historical Multistate Expense Experience</t>
  </si>
  <si>
    <t>Unallocated Loss Adjustment Expense Factor</t>
  </si>
  <si>
    <t>* Items (1), (2), and (3) are based in available ISO Special Call submissions.</t>
  </si>
  <si>
    <t>EXHIBIT D1</t>
  </si>
  <si>
    <t>WINDSTORM OR HAIL EXCLUSION CREDITS</t>
  </si>
  <si>
    <t>Wind and</t>
  </si>
  <si>
    <t>Percent</t>
  </si>
  <si>
    <t>Hail Losses</t>
  </si>
  <si>
    <t>(2)/(1)</t>
  </si>
  <si>
    <t>OREGON</t>
  </si>
  <si>
    <t>All</t>
  </si>
  <si>
    <t/>
  </si>
  <si>
    <t>Period Ending June 30, 2021</t>
  </si>
  <si>
    <t>9/30/2018</t>
  </si>
  <si>
    <t>12/31/2018</t>
  </si>
  <si>
    <t>3/31/2019</t>
  </si>
  <si>
    <t>6/30/2019</t>
  </si>
  <si>
    <t>9/30/2019</t>
  </si>
  <si>
    <t>12/31/2019</t>
  </si>
  <si>
    <t>3/31/2020</t>
  </si>
  <si>
    <t>6/30/2020</t>
  </si>
  <si>
    <t>9/30/2020</t>
  </si>
  <si>
    <t>12/31/2020</t>
  </si>
  <si>
    <t>3/31/2021</t>
  </si>
  <si>
    <t>6/30/2021</t>
  </si>
  <si>
    <t xml:space="preserve">                         Period Ending June 30, 2021</t>
  </si>
  <si>
    <t>9/30/2016</t>
  </si>
  <si>
    <t>9/30/2017</t>
  </si>
  <si>
    <t>09/01/2021</t>
  </si>
  <si>
    <t>10-12/2020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</si>
</sst>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0.000"/>
    <numFmt numFmtId="166" formatCode="0.0%"/>
    <numFmt numFmtId="167" formatCode="_(&quot;$&quot;* #,##0_);_(&quot;$&quot;* \(#,##0\);_(&quot;$&quot;* &quot;-&quot;??_);_(@_)"/>
    <numFmt numFmtId="168" formatCode="\+0.0%;\-0.0%;0.0"/>
    <numFmt numFmtId="169" formatCode="_(* #,##0_);_(* \(#,##0\);_(* &quot;-&quot;??_);_(@_)"/>
    <numFmt numFmtId="170" formatCode="\+0.0%;\-0.0%;0.0%"/>
    <numFmt numFmtId="171" formatCode="&quot;$&quot;#,##0"/>
    <numFmt numFmtId="172" formatCode="\+#0.0%;\-#0.0%"/>
    <numFmt numFmtId="173" formatCode="0.0"/>
    <numFmt numFmtId="174" formatCode="\+#0.00%;\-#0.00%"/>
    <numFmt numFmtId="175" formatCode="0.0000"/>
    <numFmt numFmtId="176" formatCode="_(* #,##0.000_);_(* \(#,##0.000\);_(* &quot;-&quot;??_);_(@_)"/>
    <numFmt numFmtId="177" formatCode="0.000;\-0.000;"/>
    <numFmt numFmtId="178" formatCode="0.00000"/>
    <numFmt numFmtId="179" formatCode="#,##0.000"/>
    <numFmt numFmtId="180" formatCode="#,##0.0"/>
  </numFmts>
  <fonts count="3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Times New Roman"/>
      <family val="1"/>
    </font>
    <font>
      <sz val="10"/>
      <color theme="1"/>
      <name val="Arial"/>
      <family val="2"/>
    </font>
    <font>
      <sz val="10"/>
      <color theme="1"/>
      <name val="Times New Roman"/>
      <family val="1"/>
    </font>
    <font>
      <b/>
      <u/>
      <sz val="12"/>
      <color theme="3"/>
      <name val="Times New Roman"/>
      <family val="1"/>
    </font>
    <font>
      <u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0"/>
      <name val="Courier"/>
      <family val="3"/>
    </font>
    <font>
      <sz val="11"/>
      <name val="Times New Roman"/>
      <family val="1"/>
    </font>
    <font>
      <sz val="11"/>
      <color indexed="12"/>
      <name val="Times New Roman"/>
      <family val="1"/>
    </font>
    <font>
      <sz val="10"/>
      <color rgb="FF0033CC"/>
      <name val="Times New Roman"/>
      <family val="1"/>
    </font>
    <font>
      <b/>
      <u/>
      <sz val="11"/>
      <name val="Times New Roman"/>
      <family val="1"/>
    </font>
    <font>
      <u/>
      <sz val="10"/>
      <color theme="10"/>
      <name val="Arial"/>
      <family val="2"/>
    </font>
    <font>
      <sz val="11"/>
      <color theme="1"/>
      <name val="Times New Roman"/>
      <family val="1"/>
    </font>
    <font>
      <u/>
      <sz val="10"/>
      <color theme="10"/>
      <name val="Times New Roman"/>
      <family val="1"/>
    </font>
    <font>
      <sz val="11"/>
      <color rgb="FF0033CC"/>
      <name val="Times New Roman"/>
      <family val="1"/>
    </font>
    <font>
      <b/>
      <u/>
      <sz val="11"/>
      <color theme="1"/>
      <name val="Times New Roman"/>
      <family val="1"/>
    </font>
    <font>
      <u/>
      <sz val="11"/>
      <color theme="1"/>
      <name val="Times New Roman"/>
      <family val="1"/>
    </font>
    <font>
      <u/>
      <sz val="10"/>
      <color theme="1"/>
      <name val="Times New Roman"/>
      <family val="1"/>
    </font>
    <font>
      <u/>
      <sz val="10"/>
      <name val="Times New Roman"/>
      <family val="1"/>
    </font>
    <font>
      <sz val="10"/>
      <color rgb="FFFF0000"/>
      <name val="Times New Roman"/>
      <family val="1"/>
    </font>
    <font>
      <u/>
      <sz val="10"/>
      <color theme="1"/>
      <name val="Arial"/>
      <family val="2"/>
    </font>
    <font>
      <sz val="8"/>
      <color theme="1"/>
      <name val="Times New Roman"/>
      <family val="1"/>
    </font>
    <font>
      <u/>
      <sz val="8"/>
      <color theme="1"/>
      <name val="Times New Roman"/>
      <family val="1"/>
    </font>
    <font>
      <sz val="8"/>
      <color rgb="FF0033CC"/>
      <name val="Times New Roman"/>
      <family val="1"/>
    </font>
    <font>
      <sz val="8"/>
      <color theme="4"/>
      <name val="Times New Roman"/>
      <family val="1"/>
    </font>
    <font>
      <sz val="8"/>
      <name val="Times New Roman"/>
      <family val="1"/>
    </font>
    <font>
      <u/>
      <sz val="11"/>
      <name val="Times New Roman"/>
      <family val="1"/>
    </font>
    <font>
      <b/>
      <u/>
      <sz val="10"/>
      <name val="Times New Roman"/>
      <family val="1"/>
    </font>
    <font>
      <b/>
      <sz val="10"/>
      <name val="Times New Roman"/>
      <family val="1"/>
    </font>
    <font>
      <sz val="10"/>
      <color theme="4"/>
      <name val="Times New Roman"/>
      <family val="1"/>
    </font>
    <font>
      <sz val="11"/>
      <color theme="1"/>
      <name val="Arial"/>
      <family val="2"/>
    </font>
    <font>
      <b/>
      <sz val="11"/>
      <color theme="1"/>
      <name val="Times New Roman"/>
      <family val="1"/>
    </font>
    <font>
      <sz val="10"/>
      <color theme="1"/>
      <name val="Calibri"/>
      <family val="2"/>
      <scheme val="minor"/>
    </font>
    <font>
      <vertAlign val="superscript"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3">
    <xf numFmtId="0" fontId="0" fillId="0" borderId="0"/>
    <xf numFmtId="0" fontId="1" fillId="0" borderId="0"/>
    <xf numFmtId="0" fontId="3" fillId="0" borderId="0"/>
    <xf numFmtId="0" fontId="1" fillId="0" borderId="0"/>
    <xf numFmtId="164" fontId="9" fillId="0" borderId="0"/>
    <xf numFmtId="0" fontId="1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77">
    <xf numFmtId="0" fontId="0" fillId="0" borderId="0" xfId="0"/>
    <xf numFmtId="0" fontId="2" fillId="0" borderId="0" xfId="1" applyFont="1"/>
    <xf numFmtId="0" fontId="4" fillId="0" borderId="0" xfId="2" applyFont="1"/>
    <xf numFmtId="0" fontId="5" fillId="0" borderId="0" xfId="1" applyFont="1" applyAlignment="1">
      <alignment horizontal="center"/>
    </xf>
    <xf numFmtId="0" fontId="7" fillId="0" borderId="0" xfId="1" applyFont="1"/>
    <xf numFmtId="0" fontId="8" fillId="0" borderId="0" xfId="3" applyFont="1"/>
    <xf numFmtId="164" fontId="10" fillId="0" borderId="0" xfId="4" applyFont="1" applyAlignment="1">
      <alignment horizontal="left"/>
    </xf>
    <xf numFmtId="164" fontId="10" fillId="0" borderId="0" xfId="4" applyFont="1"/>
    <xf numFmtId="164" fontId="10" fillId="0" borderId="0" xfId="4" quotePrefix="1" applyFont="1" applyAlignment="1">
      <alignment horizontal="left"/>
    </xf>
    <xf numFmtId="0" fontId="10" fillId="0" borderId="0" xfId="3" applyFont="1"/>
    <xf numFmtId="0" fontId="10" fillId="0" borderId="0" xfId="3" applyFont="1" applyAlignment="1">
      <alignment horizontal="right"/>
    </xf>
    <xf numFmtId="0" fontId="8" fillId="0" borderId="0" xfId="5" applyFont="1"/>
    <xf numFmtId="0" fontId="10" fillId="0" borderId="0" xfId="5" applyFont="1"/>
    <xf numFmtId="0" fontId="12" fillId="0" borderId="0" xfId="2" applyFont="1"/>
    <xf numFmtId="0" fontId="13" fillId="0" borderId="0" xfId="3" applyFont="1"/>
    <xf numFmtId="0" fontId="13" fillId="0" borderId="0" xfId="3" applyFont="1" applyAlignment="1">
      <alignment horizontal="left"/>
    </xf>
    <xf numFmtId="0" fontId="10" fillId="0" borderId="0" xfId="6" applyFont="1" applyFill="1" applyAlignment="1" applyProtection="1"/>
    <xf numFmtId="0" fontId="10" fillId="0" borderId="0" xfId="1" applyFont="1"/>
    <xf numFmtId="0" fontId="15" fillId="0" borderId="0" xfId="1" quotePrefix="1" applyFont="1"/>
    <xf numFmtId="0" fontId="16" fillId="0" borderId="0" xfId="7" applyFont="1" applyFill="1" applyAlignment="1" applyProtection="1"/>
    <xf numFmtId="0" fontId="16" fillId="0" borderId="0" xfId="7" applyFont="1" applyFill="1"/>
    <xf numFmtId="0" fontId="15" fillId="0" borderId="0" xfId="1" applyFont="1" applyAlignment="1">
      <alignment vertical="center"/>
    </xf>
    <xf numFmtId="0" fontId="15" fillId="0" borderId="0" xfId="2" applyFont="1" applyAlignment="1">
      <alignment horizontal="right"/>
    </xf>
    <xf numFmtId="0" fontId="15" fillId="0" borderId="0" xfId="2" applyFont="1"/>
    <xf numFmtId="14" fontId="17" fillId="0" borderId="0" xfId="2" applyNumberFormat="1" applyFont="1"/>
    <xf numFmtId="0" fontId="18" fillId="0" borderId="0" xfId="2" applyFont="1" applyAlignment="1">
      <alignment horizontal="right"/>
    </xf>
    <xf numFmtId="165" fontId="17" fillId="0" borderId="0" xfId="2" applyNumberFormat="1" applyFont="1"/>
    <xf numFmtId="0" fontId="19" fillId="0" borderId="0" xfId="2" applyFont="1" applyAlignment="1">
      <alignment horizontal="right"/>
    </xf>
    <xf numFmtId="0" fontId="15" fillId="0" borderId="0" xfId="2" applyFont="1" applyAlignment="1">
      <alignment horizontal="center" wrapText="1"/>
    </xf>
    <xf numFmtId="14" fontId="10" fillId="0" borderId="0" xfId="2" applyNumberFormat="1" applyFont="1"/>
    <xf numFmtId="14" fontId="15" fillId="0" borderId="0" xfId="2" applyNumberFormat="1" applyFont="1"/>
    <xf numFmtId="14" fontId="15" fillId="0" borderId="0" xfId="2" applyNumberFormat="1" applyFont="1" applyAlignment="1">
      <alignment horizontal="center" wrapText="1"/>
    </xf>
    <xf numFmtId="166" fontId="17" fillId="0" borderId="0" xfId="8" applyNumberFormat="1" applyFont="1" applyAlignment="1">
      <alignment horizontal="center"/>
    </xf>
    <xf numFmtId="0" fontId="19" fillId="0" borderId="0" xfId="2" applyFont="1" applyAlignment="1">
      <alignment horizontal="left"/>
    </xf>
    <xf numFmtId="165" fontId="17" fillId="0" borderId="0" xfId="2" applyNumberFormat="1" applyFont="1" applyAlignment="1">
      <alignment horizontal="center"/>
    </xf>
    <xf numFmtId="165" fontId="15" fillId="0" borderId="0" xfId="2" applyNumberFormat="1" applyFont="1" applyAlignment="1">
      <alignment horizontal="center"/>
    </xf>
    <xf numFmtId="165" fontId="15" fillId="0" borderId="0" xfId="2" applyNumberFormat="1" applyFont="1" applyAlignment="1">
      <alignment horizontal="right"/>
    </xf>
    <xf numFmtId="0" fontId="19" fillId="0" borderId="0" xfId="2" applyFont="1"/>
    <xf numFmtId="0" fontId="15" fillId="0" borderId="0" xfId="2" applyFont="1" applyAlignment="1">
      <alignment horizontal="center"/>
    </xf>
    <xf numFmtId="165" fontId="15" fillId="0" borderId="0" xfId="2" applyNumberFormat="1" applyFont="1"/>
    <xf numFmtId="165" fontId="19" fillId="0" borderId="0" xfId="2" applyNumberFormat="1" applyFont="1"/>
    <xf numFmtId="0" fontId="20" fillId="0" borderId="0" xfId="2" applyFont="1"/>
    <xf numFmtId="0" fontId="4" fillId="0" borderId="0" xfId="2" applyFont="1" applyAlignment="1">
      <alignment horizontal="center"/>
    </xf>
    <xf numFmtId="0" fontId="20" fillId="0" borderId="0" xfId="2" applyFont="1" applyAlignment="1">
      <alignment horizontal="left"/>
    </xf>
    <xf numFmtId="167" fontId="7" fillId="0" borderId="0" xfId="9" applyNumberFormat="1" applyFont="1" applyFill="1" applyAlignment="1">
      <alignment horizontal="center"/>
    </xf>
    <xf numFmtId="168" fontId="4" fillId="0" borderId="0" xfId="8" applyNumberFormat="1" applyFont="1" applyFill="1" applyAlignment="1">
      <alignment horizontal="right"/>
    </xf>
    <xf numFmtId="0" fontId="7" fillId="0" borderId="0" xfId="2" applyFont="1" applyAlignment="1">
      <alignment horizontal="center"/>
    </xf>
    <xf numFmtId="0" fontId="4" fillId="0" borderId="0" xfId="2" applyFont="1" applyAlignment="1">
      <alignment horizontal="right"/>
    </xf>
    <xf numFmtId="169" fontId="7" fillId="0" borderId="0" xfId="10" applyNumberFormat="1" applyFont="1" applyFill="1" applyAlignment="1">
      <alignment horizontal="center"/>
    </xf>
    <xf numFmtId="169" fontId="4" fillId="0" borderId="0" xfId="10" applyNumberFormat="1" applyFont="1" applyFill="1" applyAlignment="1">
      <alignment horizontal="center"/>
    </xf>
    <xf numFmtId="167" fontId="4" fillId="0" borderId="0" xfId="2" applyNumberFormat="1" applyFont="1" applyAlignment="1">
      <alignment horizontal="center"/>
    </xf>
    <xf numFmtId="168" fontId="4" fillId="0" borderId="0" xfId="8" applyNumberFormat="1" applyFont="1" applyAlignment="1">
      <alignment horizontal="right"/>
    </xf>
    <xf numFmtId="0" fontId="20" fillId="0" borderId="0" xfId="2" applyFont="1" applyAlignment="1">
      <alignment horizontal="center"/>
    </xf>
    <xf numFmtId="167" fontId="12" fillId="0" borderId="0" xfId="9" applyNumberFormat="1" applyFont="1" applyAlignment="1"/>
    <xf numFmtId="170" fontId="12" fillId="0" borderId="0" xfId="8" applyNumberFormat="1" applyFont="1"/>
    <xf numFmtId="169" fontId="4" fillId="0" borderId="0" xfId="10" applyNumberFormat="1" applyFont="1" applyAlignment="1">
      <alignment horizontal="center"/>
    </xf>
    <xf numFmtId="168" fontId="4" fillId="0" borderId="0" xfId="8" applyNumberFormat="1" applyFont="1"/>
    <xf numFmtId="167" fontId="4" fillId="0" borderId="0" xfId="9" applyNumberFormat="1" applyFont="1" applyAlignment="1">
      <alignment horizontal="center"/>
    </xf>
    <xf numFmtId="170" fontId="4" fillId="0" borderId="0" xfId="8" applyNumberFormat="1" applyFont="1"/>
    <xf numFmtId="167" fontId="7" fillId="0" borderId="0" xfId="9" applyNumberFormat="1" applyFont="1" applyAlignment="1"/>
    <xf numFmtId="166" fontId="4" fillId="0" borderId="0" xfId="2" applyNumberFormat="1" applyFont="1"/>
    <xf numFmtId="0" fontId="4" fillId="0" borderId="0" xfId="2" quotePrefix="1" applyFont="1"/>
    <xf numFmtId="0" fontId="4" fillId="0" borderId="0" xfId="2" quotePrefix="1" applyFont="1" applyAlignment="1">
      <alignment horizontal="center"/>
    </xf>
    <xf numFmtId="166" fontId="4" fillId="0" borderId="0" xfId="8" applyNumberFormat="1" applyFont="1"/>
    <xf numFmtId="166" fontId="4" fillId="0" borderId="0" xfId="8" applyNumberFormat="1" applyFont="1" applyAlignment="1">
      <alignment horizontal="center"/>
    </xf>
    <xf numFmtId="0" fontId="7" fillId="0" borderId="0" xfId="2" applyFont="1"/>
    <xf numFmtId="0" fontId="21" fillId="0" borderId="0" xfId="2" applyFont="1" applyAlignment="1">
      <alignment horizontal="center"/>
    </xf>
    <xf numFmtId="165" fontId="12" fillId="0" borderId="0" xfId="1" applyNumberFormat="1" applyFont="1" applyAlignment="1">
      <alignment horizontal="center"/>
    </xf>
    <xf numFmtId="165" fontId="12" fillId="0" borderId="0" xfId="1" applyNumberFormat="1" applyFont="1" applyAlignment="1">
      <alignment horizontal="right"/>
    </xf>
    <xf numFmtId="165" fontId="7" fillId="0" borderId="0" xfId="1" applyNumberFormat="1" applyFont="1" applyAlignment="1">
      <alignment horizontal="right"/>
    </xf>
    <xf numFmtId="165" fontId="12" fillId="0" borderId="0" xfId="2" applyNumberFormat="1" applyFont="1" applyAlignment="1">
      <alignment horizontal="center"/>
    </xf>
    <xf numFmtId="0" fontId="12" fillId="0" borderId="0" xfId="2" applyFont="1" applyAlignment="1">
      <alignment horizontal="center"/>
    </xf>
    <xf numFmtId="165" fontId="7" fillId="0" borderId="0" xfId="1" applyNumberFormat="1" applyFont="1" applyAlignment="1">
      <alignment horizontal="center"/>
    </xf>
    <xf numFmtId="165" fontId="4" fillId="0" borderId="0" xfId="2" applyNumberFormat="1" applyFont="1" applyAlignment="1">
      <alignment horizontal="center"/>
    </xf>
    <xf numFmtId="165" fontId="4" fillId="0" borderId="0" xfId="2" applyNumberFormat="1" applyFont="1" applyAlignment="1">
      <alignment horizontal="right"/>
    </xf>
    <xf numFmtId="165" fontId="4" fillId="0" borderId="0" xfId="2" applyNumberFormat="1" applyFont="1"/>
    <xf numFmtId="0" fontId="20" fillId="0" borderId="0" xfId="2" applyFont="1" applyAlignment="1">
      <alignment horizontal="right"/>
    </xf>
    <xf numFmtId="0" fontId="22" fillId="0" borderId="0" xfId="2" applyFont="1"/>
    <xf numFmtId="165" fontId="12" fillId="0" borderId="0" xfId="2" applyNumberFormat="1" applyFont="1"/>
    <xf numFmtId="167" fontId="12" fillId="0" borderId="0" xfId="9" applyNumberFormat="1" applyFont="1" applyAlignment="1">
      <alignment horizontal="center"/>
    </xf>
    <xf numFmtId="2" fontId="12" fillId="0" borderId="0" xfId="2" applyNumberFormat="1" applyFont="1"/>
    <xf numFmtId="169" fontId="12" fillId="0" borderId="0" xfId="10" applyNumberFormat="1" applyFont="1" applyAlignment="1"/>
    <xf numFmtId="165" fontId="4" fillId="0" borderId="0" xfId="2" applyNumberFormat="1" applyFont="1" applyAlignment="1">
      <alignment horizontal="left"/>
    </xf>
    <xf numFmtId="170" fontId="4" fillId="0" borderId="0" xfId="8" applyNumberFormat="1" applyFont="1" applyAlignment="1">
      <alignment horizontal="left"/>
    </xf>
    <xf numFmtId="0" fontId="3" fillId="0" borderId="0" xfId="2"/>
    <xf numFmtId="0" fontId="3" fillId="0" borderId="0" xfId="2" quotePrefix="1" applyAlignment="1">
      <alignment horizontal="center"/>
    </xf>
    <xf numFmtId="0" fontId="3" fillId="0" borderId="0" xfId="2" applyAlignment="1">
      <alignment horizontal="center"/>
    </xf>
    <xf numFmtId="0" fontId="23" fillId="0" borderId="0" xfId="2" applyFont="1" applyAlignment="1">
      <alignment horizontal="center"/>
    </xf>
    <xf numFmtId="165" fontId="3" fillId="0" borderId="0" xfId="2" applyNumberFormat="1"/>
    <xf numFmtId="169" fontId="12" fillId="0" borderId="0" xfId="10" applyNumberFormat="1" applyFont="1" applyAlignment="1">
      <alignment horizontal="center"/>
    </xf>
    <xf numFmtId="0" fontId="4" fillId="0" borderId="0" xfId="2" quotePrefix="1" applyFont="1" applyAlignment="1">
      <alignment horizontal="right"/>
    </xf>
    <xf numFmtId="0" fontId="4" fillId="0" borderId="0" xfId="2" applyFont="1" applyAlignment="1">
      <alignment horizontal="left"/>
    </xf>
    <xf numFmtId="170" fontId="4" fillId="0" borderId="0" xfId="8" applyNumberFormat="1" applyFont="1" applyFill="1" applyAlignment="1">
      <alignment horizontal="left"/>
    </xf>
    <xf numFmtId="0" fontId="24" fillId="0" borderId="0" xfId="2" applyFont="1"/>
    <xf numFmtId="0" fontId="24" fillId="0" borderId="0" xfId="2" applyFont="1" applyAlignment="1">
      <alignment horizontal="center"/>
    </xf>
    <xf numFmtId="0" fontId="24" fillId="0" borderId="0" xfId="2" quotePrefix="1" applyFont="1" applyAlignment="1">
      <alignment horizontal="center"/>
    </xf>
    <xf numFmtId="0" fontId="25" fillId="0" borderId="0" xfId="2" applyFont="1" applyAlignment="1">
      <alignment horizontal="center"/>
    </xf>
    <xf numFmtId="0" fontId="25" fillId="0" borderId="0" xfId="2" quotePrefix="1" applyFont="1" applyAlignment="1">
      <alignment horizontal="center"/>
    </xf>
    <xf numFmtId="171" fontId="26" fillId="0" borderId="0" xfId="9" applyNumberFormat="1" applyFont="1"/>
    <xf numFmtId="0" fontId="26" fillId="0" borderId="0" xfId="2" applyFont="1"/>
    <xf numFmtId="165" fontId="24" fillId="0" borderId="0" xfId="2" applyNumberFormat="1" applyFont="1" applyAlignment="1">
      <alignment horizontal="center"/>
    </xf>
    <xf numFmtId="165" fontId="26" fillId="0" borderId="0" xfId="2" applyNumberFormat="1" applyFont="1" applyAlignment="1">
      <alignment horizontal="center"/>
    </xf>
    <xf numFmtId="169" fontId="26" fillId="0" borderId="0" xfId="10" applyNumberFormat="1" applyFont="1"/>
    <xf numFmtId="171" fontId="27" fillId="0" borderId="0" xfId="9" applyNumberFormat="1" applyFont="1"/>
    <xf numFmtId="165" fontId="27" fillId="0" borderId="0" xfId="2" applyNumberFormat="1" applyFont="1" applyAlignment="1">
      <alignment horizontal="center"/>
    </xf>
    <xf numFmtId="169" fontId="27" fillId="0" borderId="0" xfId="10" applyNumberFormat="1" applyFont="1"/>
    <xf numFmtId="3" fontId="24" fillId="0" borderId="0" xfId="2" applyNumberFormat="1" applyFont="1"/>
    <xf numFmtId="0" fontId="27" fillId="0" borderId="0" xfId="2" applyFont="1"/>
    <xf numFmtId="171" fontId="26" fillId="0" borderId="0" xfId="9" applyNumberFormat="1" applyFont="1" applyFill="1"/>
    <xf numFmtId="0" fontId="26" fillId="0" borderId="0" xfId="2" applyFont="1" applyAlignment="1">
      <alignment horizontal="center"/>
    </xf>
    <xf numFmtId="169" fontId="26" fillId="0" borderId="0" xfId="10" applyNumberFormat="1" applyFont="1" applyFill="1"/>
    <xf numFmtId="3" fontId="26" fillId="0" borderId="0" xfId="2" applyNumberFormat="1" applyFont="1"/>
    <xf numFmtId="3" fontId="28" fillId="0" borderId="0" xfId="2" applyNumberFormat="1" applyFont="1"/>
    <xf numFmtId="0" fontId="24" fillId="0" borderId="0" xfId="2" quotePrefix="1" applyFont="1"/>
    <xf numFmtId="171" fontId="24" fillId="0" borderId="0" xfId="9" applyNumberFormat="1" applyFont="1" applyFill="1"/>
    <xf numFmtId="169" fontId="24" fillId="0" borderId="0" xfId="10" applyNumberFormat="1" applyFont="1" applyFill="1"/>
    <xf numFmtId="165" fontId="20" fillId="0" borderId="0" xfId="2" applyNumberFormat="1" applyFont="1" applyAlignment="1">
      <alignment horizontal="center"/>
    </xf>
    <xf numFmtId="3" fontId="12" fillId="0" borderId="0" xfId="2" applyNumberFormat="1" applyFont="1" applyAlignment="1">
      <alignment horizontal="center"/>
    </xf>
    <xf numFmtId="165" fontId="7" fillId="0" borderId="0" xfId="2" applyNumberFormat="1" applyFont="1" applyAlignment="1">
      <alignment horizontal="center"/>
    </xf>
    <xf numFmtId="3" fontId="4" fillId="0" borderId="0" xfId="2" applyNumberFormat="1" applyFont="1" applyAlignment="1">
      <alignment horizontal="center"/>
    </xf>
    <xf numFmtId="14" fontId="4" fillId="0" borderId="0" xfId="2" applyNumberFormat="1" applyFont="1"/>
    <xf numFmtId="0" fontId="13" fillId="0" borderId="0" xfId="1" applyFont="1"/>
    <xf numFmtId="0" fontId="10" fillId="0" borderId="0" xfId="1" applyFont="1" applyAlignment="1">
      <alignment horizontal="center"/>
    </xf>
    <xf numFmtId="0" fontId="29" fillId="0" borderId="0" xfId="1" applyFont="1" applyAlignment="1">
      <alignment horizontal="center"/>
    </xf>
    <xf numFmtId="165" fontId="10" fillId="0" borderId="0" xfId="1" applyNumberFormat="1" applyFont="1" applyAlignment="1">
      <alignment horizontal="center"/>
    </xf>
    <xf numFmtId="0" fontId="10" fillId="0" borderId="0" xfId="1" quotePrefix="1" applyFont="1"/>
    <xf numFmtId="172" fontId="10" fillId="0" borderId="0" xfId="11" applyNumberFormat="1" applyFont="1" applyAlignment="1">
      <alignment horizontal="center"/>
    </xf>
    <xf numFmtId="2" fontId="10" fillId="0" borderId="0" xfId="1" applyNumberFormat="1" applyFont="1" applyAlignment="1">
      <alignment horizontal="center"/>
    </xf>
    <xf numFmtId="0" fontId="10" fillId="0" borderId="0" xfId="1" applyFont="1" applyAlignment="1">
      <alignment horizontal="right"/>
    </xf>
    <xf numFmtId="0" fontId="10" fillId="0" borderId="0" xfId="1" quotePrefix="1" applyFont="1" applyAlignment="1">
      <alignment horizontal="center"/>
    </xf>
    <xf numFmtId="0" fontId="29" fillId="0" borderId="0" xfId="1" quotePrefix="1" applyFont="1" applyAlignment="1">
      <alignment horizontal="center"/>
    </xf>
    <xf numFmtId="0" fontId="30" fillId="0" borderId="0" xfId="1" applyFont="1"/>
    <xf numFmtId="0" fontId="7" fillId="0" borderId="0" xfId="1" quotePrefix="1" applyFont="1" applyAlignment="1">
      <alignment horizontal="center"/>
    </xf>
    <xf numFmtId="0" fontId="7" fillId="0" borderId="0" xfId="1" applyFont="1" applyAlignment="1">
      <alignment horizontal="center"/>
    </xf>
    <xf numFmtId="0" fontId="21" fillId="0" borderId="0" xfId="1" applyFont="1"/>
    <xf numFmtId="0" fontId="21" fillId="0" borderId="0" xfId="1" quotePrefix="1" applyFont="1" applyAlignment="1">
      <alignment horizontal="center"/>
    </xf>
    <xf numFmtId="0" fontId="21" fillId="0" borderId="0" xfId="1" applyFont="1" applyAlignment="1">
      <alignment horizontal="center"/>
    </xf>
    <xf numFmtId="0" fontId="7" fillId="0" borderId="0" xfId="1" quotePrefix="1" applyFont="1"/>
    <xf numFmtId="0" fontId="7" fillId="0" borderId="0" xfId="1" quotePrefix="1" applyFont="1" applyAlignment="1">
      <alignment horizontal="right"/>
    </xf>
    <xf numFmtId="0" fontId="7" fillId="0" borderId="0" xfId="1" applyFont="1" applyAlignment="1">
      <alignment horizontal="right"/>
    </xf>
    <xf numFmtId="0" fontId="31" fillId="0" borderId="0" xfId="1" applyFont="1"/>
    <xf numFmtId="0" fontId="7" fillId="0" borderId="1" xfId="1" applyFont="1" applyBorder="1"/>
    <xf numFmtId="0" fontId="7" fillId="0" borderId="2" xfId="1" applyFont="1" applyBorder="1"/>
    <xf numFmtId="0" fontId="7" fillId="0" borderId="3" xfId="1" applyFont="1" applyBorder="1"/>
    <xf numFmtId="14" fontId="7" fillId="0" borderId="4" xfId="1" applyNumberFormat="1" applyFont="1" applyBorder="1"/>
    <xf numFmtId="14" fontId="7" fillId="0" borderId="0" xfId="1" applyNumberFormat="1" applyFont="1"/>
    <xf numFmtId="173" fontId="12" fillId="0" borderId="0" xfId="1" applyNumberFormat="1" applyFont="1" applyAlignment="1">
      <alignment horizontal="center"/>
    </xf>
    <xf numFmtId="173" fontId="7" fillId="0" borderId="0" xfId="1" applyNumberFormat="1" applyFont="1"/>
    <xf numFmtId="14" fontId="7" fillId="0" borderId="3" xfId="1" applyNumberFormat="1" applyFont="1" applyBorder="1"/>
    <xf numFmtId="0" fontId="7" fillId="0" borderId="4" xfId="1" applyFont="1" applyBorder="1" applyAlignment="1">
      <alignment horizontal="right"/>
    </xf>
    <xf numFmtId="0" fontId="7" fillId="0" borderId="4" xfId="1" applyFont="1" applyBorder="1"/>
    <xf numFmtId="0" fontId="7" fillId="0" borderId="5" xfId="1" applyFont="1" applyBorder="1"/>
    <xf numFmtId="2" fontId="7" fillId="0" borderId="6" xfId="1" applyNumberFormat="1" applyFont="1" applyBorder="1"/>
    <xf numFmtId="0" fontId="7" fillId="0" borderId="0" xfId="1" applyFont="1" applyAlignment="1">
      <alignment horizontal="left"/>
    </xf>
    <xf numFmtId="165" fontId="7" fillId="0" borderId="0" xfId="1" applyNumberFormat="1" applyFont="1" applyAlignment="1">
      <alignment horizontal="left"/>
    </xf>
    <xf numFmtId="173" fontId="7" fillId="0" borderId="0" xfId="1" applyNumberFormat="1" applyFont="1" applyAlignment="1">
      <alignment horizontal="left"/>
    </xf>
    <xf numFmtId="174" fontId="12" fillId="0" borderId="0" xfId="11" applyNumberFormat="1" applyFont="1" applyAlignment="1">
      <alignment horizontal="center"/>
    </xf>
    <xf numFmtId="10" fontId="32" fillId="0" borderId="0" xfId="11" applyNumberFormat="1" applyFont="1" applyAlignment="1"/>
    <xf numFmtId="0" fontId="32" fillId="0" borderId="0" xfId="1" applyFont="1"/>
    <xf numFmtId="2" fontId="12" fillId="0" borderId="0" xfId="1" applyNumberFormat="1" applyFont="1" applyAlignment="1">
      <alignment horizontal="center"/>
    </xf>
    <xf numFmtId="0" fontId="12" fillId="0" borderId="0" xfId="1" applyFont="1"/>
    <xf numFmtId="173" fontId="7" fillId="0" borderId="5" xfId="1" applyNumberFormat="1" applyFont="1" applyBorder="1"/>
    <xf numFmtId="0" fontId="12" fillId="0" borderId="0" xfId="1" applyFont="1" applyAlignment="1">
      <alignment horizontal="center"/>
    </xf>
    <xf numFmtId="2" fontId="7" fillId="0" borderId="0" xfId="1" applyNumberFormat="1" applyFont="1" applyAlignment="1">
      <alignment horizontal="center"/>
    </xf>
    <xf numFmtId="0" fontId="19" fillId="0" borderId="0" xfId="2" applyFont="1" applyAlignment="1">
      <alignment horizontal="center"/>
    </xf>
    <xf numFmtId="3" fontId="17" fillId="0" borderId="0" xfId="2" applyNumberFormat="1" applyFont="1" applyAlignment="1">
      <alignment horizontal="center" wrapText="1"/>
    </xf>
    <xf numFmtId="3" fontId="15" fillId="0" borderId="0" xfId="2" applyNumberFormat="1" applyFont="1" applyAlignment="1">
      <alignment horizontal="center" wrapText="1"/>
    </xf>
    <xf numFmtId="175" fontId="15" fillId="0" borderId="0" xfId="2" applyNumberFormat="1" applyFont="1" applyAlignment="1">
      <alignment horizontal="center" wrapText="1"/>
    </xf>
    <xf numFmtId="169" fontId="0" fillId="0" borderId="0" xfId="10" applyNumberFormat="1" applyFont="1"/>
    <xf numFmtId="176" fontId="0" fillId="0" borderId="0" xfId="10" applyNumberFormat="1" applyFont="1"/>
    <xf numFmtId="0" fontId="19" fillId="0" borderId="0" xfId="2" applyFont="1" applyAlignment="1">
      <alignment horizontal="center" vertical="top"/>
    </xf>
    <xf numFmtId="0" fontId="19" fillId="0" borderId="0" xfId="2" applyFont="1" applyAlignment="1">
      <alignment horizontal="center" vertical="top" wrapText="1"/>
    </xf>
    <xf numFmtId="166" fontId="15" fillId="0" borderId="0" xfId="2" applyNumberFormat="1" applyFont="1" applyAlignment="1">
      <alignment horizontal="center" vertical="top" wrapText="1"/>
    </xf>
    <xf numFmtId="165" fontId="15" fillId="0" borderId="0" xfId="2" applyNumberFormat="1" applyFont="1" applyAlignment="1">
      <alignment horizontal="center" vertical="top" wrapText="1"/>
    </xf>
    <xf numFmtId="0" fontId="15" fillId="0" borderId="0" xfId="2" applyFont="1" applyAlignment="1">
      <alignment horizontal="left"/>
    </xf>
    <xf numFmtId="3" fontId="15" fillId="0" borderId="0" xfId="2" applyNumberFormat="1" applyFont="1" applyAlignment="1">
      <alignment horizontal="center"/>
    </xf>
    <xf numFmtId="165" fontId="3" fillId="0" borderId="0" xfId="8" applyNumberFormat="1" applyFont="1" applyAlignment="1">
      <alignment horizontal="center"/>
    </xf>
    <xf numFmtId="14" fontId="4" fillId="0" borderId="0" xfId="2" applyNumberFormat="1" applyFont="1" applyAlignment="1">
      <alignment horizontal="center"/>
    </xf>
    <xf numFmtId="3" fontId="12" fillId="0" borderId="0" xfId="10" applyNumberFormat="1" applyFont="1" applyFill="1"/>
    <xf numFmtId="177" fontId="12" fillId="0" borderId="0" xfId="2" applyNumberFormat="1" applyFont="1" applyAlignment="1">
      <alignment horizontal="center"/>
    </xf>
    <xf numFmtId="3" fontId="4" fillId="0" borderId="0" xfId="10" applyNumberFormat="1" applyFont="1" applyFill="1"/>
    <xf numFmtId="177" fontId="4" fillId="0" borderId="0" xfId="2" applyNumberFormat="1" applyFont="1" applyAlignment="1">
      <alignment horizontal="center"/>
    </xf>
    <xf numFmtId="14" fontId="4" fillId="0" borderId="0" xfId="2" applyNumberFormat="1" applyFont="1" applyAlignment="1">
      <alignment horizontal="left"/>
    </xf>
    <xf numFmtId="14" fontId="4" fillId="0" borderId="0" xfId="2" quotePrefix="1" applyNumberFormat="1" applyFont="1" applyAlignment="1">
      <alignment horizontal="left"/>
    </xf>
    <xf numFmtId="165" fontId="32" fillId="0" borderId="0" xfId="2" applyNumberFormat="1" applyFont="1" applyAlignment="1">
      <alignment horizontal="center"/>
    </xf>
    <xf numFmtId="0" fontId="33" fillId="0" borderId="0" xfId="2" applyFont="1"/>
    <xf numFmtId="165" fontId="33" fillId="0" borderId="0" xfId="2" applyNumberFormat="1" applyFont="1"/>
    <xf numFmtId="165" fontId="35" fillId="0" borderId="0" xfId="2" applyNumberFormat="1" applyFont="1"/>
    <xf numFmtId="0" fontId="3" fillId="0" borderId="0" xfId="2" applyAlignment="1">
      <alignment horizontal="left"/>
    </xf>
    <xf numFmtId="0" fontId="20" fillId="0" borderId="0" xfId="2" quotePrefix="1" applyFont="1" applyAlignment="1">
      <alignment horizontal="center"/>
    </xf>
    <xf numFmtId="169" fontId="12" fillId="0" borderId="0" xfId="10" applyNumberFormat="1" applyFont="1"/>
    <xf numFmtId="169" fontId="4" fillId="0" borderId="0" xfId="10" applyNumberFormat="1" applyFont="1"/>
    <xf numFmtId="176" fontId="4" fillId="0" borderId="0" xfId="10" applyNumberFormat="1" applyFont="1"/>
    <xf numFmtId="1" fontId="4" fillId="0" borderId="0" xfId="2" applyNumberFormat="1" applyFont="1" applyAlignment="1">
      <alignment horizontal="center"/>
    </xf>
    <xf numFmtId="165" fontId="20" fillId="0" borderId="0" xfId="2" quotePrefix="1" applyNumberFormat="1" applyFont="1" applyAlignment="1">
      <alignment horizontal="center"/>
    </xf>
    <xf numFmtId="169" fontId="4" fillId="0" borderId="0" xfId="2" applyNumberFormat="1" applyFont="1"/>
    <xf numFmtId="169" fontId="4" fillId="0" borderId="0" xfId="10" applyNumberFormat="1" applyFont="1" applyFill="1"/>
    <xf numFmtId="0" fontId="7" fillId="0" borderId="8" xfId="1" applyFont="1" applyBorder="1"/>
    <xf numFmtId="0" fontId="7" fillId="0" borderId="9" xfId="1" applyFont="1" applyBorder="1"/>
    <xf numFmtId="2" fontId="7" fillId="0" borderId="4" xfId="1" applyNumberFormat="1" applyFont="1" applyBorder="1"/>
    <xf numFmtId="166" fontId="12" fillId="0" borderId="0" xfId="11" applyNumberFormat="1" applyFont="1" applyAlignment="1">
      <alignment horizontal="center"/>
    </xf>
    <xf numFmtId="178" fontId="7" fillId="0" borderId="0" xfId="1" applyNumberFormat="1" applyFont="1"/>
    <xf numFmtId="0" fontId="7" fillId="0" borderId="10" xfId="1" applyFont="1" applyBorder="1"/>
    <xf numFmtId="0" fontId="7" fillId="0" borderId="6" xfId="1" applyFont="1" applyBorder="1"/>
    <xf numFmtId="166" fontId="12" fillId="0" borderId="0" xfId="11" applyNumberFormat="1" applyFont="1" applyFill="1" applyAlignment="1">
      <alignment horizontal="center"/>
    </xf>
    <xf numFmtId="166" fontId="12" fillId="0" borderId="0" xfId="1" applyNumberFormat="1" applyFont="1" applyAlignment="1">
      <alignment horizontal="center"/>
    </xf>
    <xf numFmtId="0" fontId="1" fillId="0" borderId="0" xfId="1"/>
    <xf numFmtId="0" fontId="4" fillId="0" borderId="0" xfId="1" applyFont="1" applyAlignment="1">
      <alignment wrapText="1"/>
    </xf>
    <xf numFmtId="0" fontId="4" fillId="0" borderId="0" xfId="1" applyFont="1" applyAlignment="1">
      <alignment horizontal="center" wrapText="1"/>
    </xf>
    <xf numFmtId="0" fontId="20" fillId="0" borderId="0" xfId="1" applyFont="1" applyAlignment="1">
      <alignment horizontal="center" wrapText="1"/>
    </xf>
    <xf numFmtId="49" fontId="4" fillId="0" borderId="0" xfId="1" applyNumberFormat="1" applyFont="1" applyAlignment="1">
      <alignment horizontal="center" vertical="center" wrapText="1"/>
    </xf>
    <xf numFmtId="3" fontId="12" fillId="0" borderId="0" xfId="12" applyNumberFormat="1" applyFont="1" applyAlignment="1">
      <alignment horizontal="center" wrapText="1"/>
    </xf>
    <xf numFmtId="179" fontId="12" fillId="0" borderId="0" xfId="1" applyNumberFormat="1" applyFont="1" applyAlignment="1">
      <alignment horizontal="center" wrapText="1"/>
    </xf>
    <xf numFmtId="179" fontId="12" fillId="0" borderId="0" xfId="12" applyNumberFormat="1" applyFont="1" applyAlignment="1">
      <alignment horizontal="center" wrapText="1"/>
    </xf>
    <xf numFmtId="3" fontId="4" fillId="0" borderId="0" xfId="12" applyNumberFormat="1" applyFont="1" applyAlignment="1">
      <alignment horizontal="center" wrapText="1"/>
    </xf>
    <xf numFmtId="180" fontId="12" fillId="0" borderId="0" xfId="1" applyNumberFormat="1" applyFont="1" applyAlignment="1">
      <alignment horizontal="center" wrapText="1"/>
    </xf>
    <xf numFmtId="180" fontId="12" fillId="0" borderId="0" xfId="12" applyNumberFormat="1" applyFont="1" applyAlignment="1">
      <alignment horizontal="center" wrapText="1"/>
    </xf>
    <xf numFmtId="3" fontId="12" fillId="0" borderId="0" xfId="12" applyNumberFormat="1" applyFont="1" applyFill="1" applyAlignment="1">
      <alignment horizontal="center" wrapText="1"/>
    </xf>
    <xf numFmtId="179" fontId="4" fillId="0" borderId="0" xfId="1" applyNumberFormat="1" applyFont="1" applyAlignment="1">
      <alignment horizontal="center" wrapText="1"/>
    </xf>
    <xf numFmtId="0" fontId="1" fillId="0" borderId="0" xfId="1" applyAlignment="1">
      <alignment wrapText="1"/>
    </xf>
    <xf numFmtId="3" fontId="12" fillId="0" borderId="0" xfId="2" applyNumberFormat="1" applyFont="1"/>
    <xf numFmtId="3" fontId="4" fillId="0" borderId="0" xfId="2" applyNumberFormat="1" applyFont="1"/>
    <xf numFmtId="166" fontId="4" fillId="0" borderId="0" xfId="8" applyNumberFormat="1" applyFont="1" applyFill="1"/>
    <xf numFmtId="0" fontId="4" fillId="0" borderId="0" xfId="2" applyFont="1" applyAlignment="1">
      <alignment vertical="center"/>
    </xf>
    <xf numFmtId="49" fontId="4" fillId="0" borderId="0" xfId="2" applyNumberFormat="1" applyFont="1"/>
    <xf numFmtId="49" fontId="4" fillId="0" borderId="0" xfId="2" applyNumberFormat="1" applyFont="1" applyAlignment="1">
      <alignment vertical="center"/>
    </xf>
    <xf numFmtId="0" fontId="4" fillId="0" borderId="0" xfId="2" applyFont="1" applyAlignment="1">
      <alignment vertical="center" wrapText="1"/>
    </xf>
    <xf numFmtId="0" fontId="4" fillId="0" borderId="0" xfId="2" applyFont="1" applyAlignment="1">
      <alignment wrapText="1"/>
    </xf>
    <xf numFmtId="166" fontId="4" fillId="0" borderId="0" xfId="8" applyNumberFormat="1" applyFont="1" applyAlignment="1">
      <alignment horizontal="center" vertical="center"/>
    </xf>
    <xf numFmtId="166" fontId="4" fillId="0" borderId="0" xfId="8" applyNumberFormat="1" applyFont="1" applyAlignment="1">
      <alignment vertical="center"/>
    </xf>
    <xf numFmtId="166" fontId="4" fillId="0" borderId="0" xfId="8" applyNumberFormat="1" applyFont="1" applyFill="1" applyAlignment="1">
      <alignment horizontal="center" vertical="center"/>
    </xf>
    <xf numFmtId="49" fontId="4" fillId="0" borderId="0" xfId="2" applyNumberFormat="1" applyFont="1" applyAlignment="1">
      <alignment horizontal="center"/>
    </xf>
    <xf numFmtId="49" fontId="4" fillId="0" borderId="0" xfId="2" applyNumberFormat="1" applyFont="1" applyAlignment="1">
      <alignment horizontal="center" vertical="center"/>
    </xf>
    <xf numFmtId="166" fontId="20" fillId="0" borderId="0" xfId="8" applyNumberFormat="1" applyFont="1" applyFill="1" applyAlignment="1">
      <alignment horizontal="center"/>
    </xf>
    <xf numFmtId="166" fontId="12" fillId="0" borderId="0" xfId="8" applyNumberFormat="1" applyFont="1"/>
    <xf numFmtId="9" fontId="4" fillId="0" borderId="0" xfId="8" applyFont="1"/>
    <xf numFmtId="0" fontId="6" fillId="0" borderId="0" xfId="1" applyFont="1" applyAlignment="1">
      <alignment horizontal="center"/>
    </xf>
    <xf numFmtId="0" fontId="19" fillId="0" borderId="0" xfId="2" applyFont="1" applyAlignment="1">
      <alignment horizontal="center"/>
    </xf>
    <xf numFmtId="165" fontId="19" fillId="0" borderId="0" xfId="2" applyNumberFormat="1" applyFont="1" applyAlignment="1">
      <alignment horizontal="center"/>
    </xf>
    <xf numFmtId="0" fontId="4" fillId="0" borderId="0" xfId="2" applyFont="1"/>
    <xf numFmtId="0" fontId="7" fillId="0" borderId="0" xfId="2" applyFont="1" applyAlignment="1">
      <alignment horizontal="center"/>
    </xf>
    <xf numFmtId="0" fontId="4" fillId="0" borderId="0" xfId="2" applyFont="1" applyAlignment="1">
      <alignment horizontal="center"/>
    </xf>
    <xf numFmtId="0" fontId="20" fillId="0" borderId="0" xfId="2" applyFont="1"/>
    <xf numFmtId="0" fontId="20" fillId="0" borderId="0" xfId="2" applyFont="1" applyAlignment="1">
      <alignment horizontal="center"/>
    </xf>
    <xf numFmtId="0" fontId="20" fillId="0" borderId="0" xfId="2" applyFont="1" applyAlignment="1">
      <alignment horizontal="left"/>
    </xf>
    <xf numFmtId="0" fontId="4" fillId="0" borderId="0" xfId="2" quotePrefix="1" applyFont="1" applyAlignment="1">
      <alignment horizontal="center"/>
    </xf>
    <xf numFmtId="0" fontId="21" fillId="0" borderId="0" xfId="2" applyFont="1" applyAlignment="1">
      <alignment horizontal="center"/>
    </xf>
    <xf numFmtId="165" fontId="12" fillId="0" borderId="0" xfId="2" applyNumberFormat="1" applyFont="1" applyAlignment="1">
      <alignment horizontal="center"/>
    </xf>
    <xf numFmtId="0" fontId="4" fillId="0" borderId="0" xfId="2" quotePrefix="1" applyFont="1" applyAlignment="1">
      <alignment horizontal="right"/>
    </xf>
    <xf numFmtId="14" fontId="4" fillId="0" borderId="0" xfId="2" applyNumberFormat="1" applyFont="1" applyAlignment="1">
      <alignment horizontal="center"/>
    </xf>
    <xf numFmtId="0" fontId="4" fillId="0" borderId="0" xfId="2" applyFont="1" applyAlignment="1">
      <alignment horizontal="right"/>
    </xf>
    <xf numFmtId="0" fontId="4" fillId="0" borderId="0" xfId="2" quotePrefix="1" applyFont="1"/>
    <xf numFmtId="0" fontId="24" fillId="0" borderId="0" xfId="2" applyFont="1" applyAlignment="1">
      <alignment horizontal="center"/>
    </xf>
    <xf numFmtId="0" fontId="24" fillId="0" borderId="0" xfId="2" applyFont="1"/>
    <xf numFmtId="0" fontId="10" fillId="0" borderId="0" xfId="1" applyFont="1"/>
    <xf numFmtId="0" fontId="10" fillId="0" borderId="0" xfId="1" applyFont="1" applyAlignment="1">
      <alignment horizontal="center"/>
    </xf>
    <xf numFmtId="0" fontId="29" fillId="0" borderId="0" xfId="1" applyFont="1" applyAlignment="1">
      <alignment horizontal="center"/>
    </xf>
    <xf numFmtId="165" fontId="29" fillId="0" borderId="0" xfId="1" applyNumberFormat="1" applyFont="1" applyAlignment="1">
      <alignment horizontal="center"/>
    </xf>
    <xf numFmtId="0" fontId="7" fillId="0" borderId="0" xfId="1" applyFont="1"/>
    <xf numFmtId="0" fontId="7" fillId="0" borderId="0" xfId="1" applyFont="1" applyAlignment="1">
      <alignment horizontal="center"/>
    </xf>
    <xf numFmtId="0" fontId="21" fillId="0" borderId="0" xfId="1" applyFont="1" applyAlignment="1">
      <alignment horizontal="center"/>
    </xf>
    <xf numFmtId="0" fontId="7" fillId="0" borderId="0" xfId="1" quotePrefix="1" applyFont="1"/>
    <xf numFmtId="0" fontId="7" fillId="0" borderId="0" xfId="1" applyFont="1" applyAlignment="1">
      <alignment horizontal="right"/>
    </xf>
    <xf numFmtId="0" fontId="7" fillId="0" borderId="0" xfId="1" applyFont="1" applyAlignment="1">
      <alignment horizontal="left"/>
    </xf>
    <xf numFmtId="0" fontId="30" fillId="0" borderId="0" xfId="1" applyFont="1"/>
    <xf numFmtId="0" fontId="7" fillId="0" borderId="7" xfId="1" quotePrefix="1" applyFont="1" applyBorder="1" applyAlignment="1">
      <alignment horizontal="center"/>
    </xf>
    <xf numFmtId="3" fontId="15" fillId="0" borderId="0" xfId="2" applyNumberFormat="1" applyFont="1" applyAlignment="1">
      <alignment horizontal="center"/>
    </xf>
    <xf numFmtId="0" fontId="19" fillId="0" borderId="0" xfId="2" applyFont="1" applyAlignment="1">
      <alignment horizontal="left"/>
    </xf>
    <xf numFmtId="0" fontId="15" fillId="0" borderId="0" xfId="2" applyFont="1" applyAlignment="1">
      <alignment horizontal="left"/>
    </xf>
    <xf numFmtId="0" fontId="3" fillId="0" borderId="0" xfId="2"/>
    <xf numFmtId="0" fontId="19" fillId="0" borderId="0" xfId="2" applyFont="1" applyAlignment="1">
      <alignment horizontal="center" vertical="top"/>
    </xf>
    <xf numFmtId="0" fontId="33" fillId="0" borderId="0" xfId="2" applyFont="1"/>
    <xf numFmtId="3" fontId="34" fillId="0" borderId="0" xfId="2" applyNumberFormat="1" applyFont="1" applyAlignment="1">
      <alignment horizontal="center"/>
    </xf>
    <xf numFmtId="0" fontId="7" fillId="0" borderId="7" xfId="1" applyFont="1" applyBorder="1" applyAlignment="1">
      <alignment horizontal="center"/>
    </xf>
    <xf numFmtId="0" fontId="4" fillId="0" borderId="0" xfId="1" applyFont="1" applyAlignment="1">
      <alignment horizontal="center" wrapText="1"/>
    </xf>
    <xf numFmtId="0" fontId="4" fillId="0" borderId="0" xfId="2" applyFont="1" applyAlignment="1">
      <alignment horizontal="center" vertical="center"/>
    </xf>
    <xf numFmtId="0" fontId="20" fillId="0" borderId="0" xfId="2" applyFont="1" applyAlignment="1">
      <alignment horizontal="center" vertical="center"/>
    </xf>
  </cellXfs>
  <cellStyles count="13">
    <cellStyle name="Comma 2" xfId="10" xr:uid="{383FF99C-BD31-42D4-A50D-96674F7234C3}"/>
    <cellStyle name="Comma 2 2" xfId="12" xr:uid="{9B3DE89F-75EE-4E0C-9F5E-BB362DFAFB26}"/>
    <cellStyle name="Currency 2" xfId="9" xr:uid="{B3002821-251D-44C5-827F-85C9EE5556C5}"/>
    <cellStyle name="Hyperlink 2" xfId="6" xr:uid="{33B6A765-BC59-4897-80CF-90752E00DD5E}"/>
    <cellStyle name="Hyperlink 3" xfId="7" xr:uid="{53C9905D-27E5-482C-9117-87C77AE39CC4}"/>
    <cellStyle name="Normal" xfId="0" builtinId="0"/>
    <cellStyle name="Normal 2" xfId="1" xr:uid="{B4C97E78-6C5D-44E0-B181-BEE7459A533A}"/>
    <cellStyle name="Normal 2 2" xfId="3" xr:uid="{A6197C3F-E14B-45F4-8666-F64CE37CD07B}"/>
    <cellStyle name="Normal 2 2 2" xfId="5" xr:uid="{6A261317-F06B-45B7-A1CC-9CC9144D7C84}"/>
    <cellStyle name="Normal 3" xfId="2" xr:uid="{4E257A3F-FCA4-466E-ADBC-2286FCFEF412}"/>
    <cellStyle name="Normal_User Notes" xfId="4" xr:uid="{57C43A1C-A7DC-4148-8CA9-E54609FE6457}"/>
    <cellStyle name="Percent 2" xfId="8" xr:uid="{4353D6B9-E55B-4A7D-B487-21DCA4E51DD3}"/>
    <cellStyle name="Percent 2 2" xfId="11" xr:uid="{DCEB5614-A82C-4380-9EDA-68123F8D417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47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ustomXml" Target="../customXml/item2.xml"/><Relationship Id="rId20" Type="http://schemas.openxmlformats.org/officeDocument/2006/relationships/worksheet" Target="worksheets/sheet20.xml"/><Relationship Id="rId4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0</xdr:colOff>
      <xdr:row>5</xdr:row>
      <xdr:rowOff>114300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E7CFB62-951F-40C9-8CF7-DDEA3CE3B5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155257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A88ED-7E80-47D1-88E6-058467C0576E}">
  <dimension ref="A1:K67"/>
  <sheetViews>
    <sheetView tabSelected="1" zoomScaleNormal="100" workbookViewId="0"/>
  </sheetViews>
  <sheetFormatPr defaultColWidth="9" defaultRowHeight="13.15" x14ac:dyDescent="0.4"/>
  <cols>
    <col min="1" max="1" width="9" style="2"/>
    <col min="2" max="2" width="12.73046875" style="2" customWidth="1"/>
    <col min="3" max="16384" width="9" style="2"/>
  </cols>
  <sheetData>
    <row r="1" spans="1:11" ht="15" x14ac:dyDescent="0.4">
      <c r="A1" s="1"/>
      <c r="B1" s="1"/>
      <c r="C1" s="1"/>
      <c r="D1" s="1"/>
      <c r="E1" s="1"/>
    </row>
    <row r="2" spans="1:11" ht="15" x14ac:dyDescent="0.4">
      <c r="A2" s="1"/>
      <c r="B2" s="1"/>
      <c r="C2" s="1"/>
      <c r="D2" s="1"/>
      <c r="E2" s="1"/>
    </row>
    <row r="3" spans="1:11" ht="15" x14ac:dyDescent="0.4">
      <c r="A3" s="1"/>
      <c r="B3" s="1"/>
      <c r="C3" s="1"/>
      <c r="D3" s="1"/>
      <c r="E3" s="1"/>
    </row>
    <row r="4" spans="1:11" ht="15" x14ac:dyDescent="0.4">
      <c r="A4" s="1"/>
      <c r="B4" s="1"/>
      <c r="C4" s="1"/>
      <c r="D4" s="1"/>
      <c r="E4" s="1"/>
    </row>
    <row r="5" spans="1:11" ht="15" x14ac:dyDescent="0.4">
      <c r="A5" s="1"/>
      <c r="B5" s="1"/>
      <c r="C5" s="1"/>
      <c r="D5" s="1"/>
      <c r="E5" s="1"/>
    </row>
    <row r="6" spans="1:11" ht="15" x14ac:dyDescent="0.4">
      <c r="A6" s="3"/>
      <c r="B6" s="3"/>
      <c r="C6" s="3"/>
      <c r="D6" s="3"/>
      <c r="E6" s="3"/>
    </row>
    <row r="7" spans="1:11" ht="15.4" x14ac:dyDescent="0.45">
      <c r="A7" s="236" t="s">
        <v>0</v>
      </c>
      <c r="B7" s="236"/>
      <c r="C7" s="236"/>
      <c r="D7" s="236"/>
      <c r="E7" s="236"/>
      <c r="F7" s="236"/>
      <c r="G7" s="236"/>
      <c r="H7" s="236"/>
      <c r="I7" s="236"/>
      <c r="J7" s="236"/>
      <c r="K7" s="236"/>
    </row>
    <row r="8" spans="1:11" x14ac:dyDescent="0.4">
      <c r="A8" s="4"/>
      <c r="B8" s="4"/>
      <c r="C8" s="4"/>
      <c r="D8" s="4"/>
      <c r="E8" s="4"/>
    </row>
    <row r="9" spans="1:11" ht="13.9" x14ac:dyDescent="0.4">
      <c r="A9" s="5" t="s">
        <v>1</v>
      </c>
      <c r="B9" s="5"/>
      <c r="C9" s="5"/>
      <c r="D9" s="5"/>
      <c r="E9" s="5"/>
    </row>
    <row r="10" spans="1:11" ht="13.9" x14ac:dyDescent="0.4">
      <c r="A10" s="6" t="s">
        <v>2</v>
      </c>
      <c r="B10" s="7"/>
      <c r="C10" s="8"/>
      <c r="D10" s="7"/>
      <c r="E10" s="7"/>
    </row>
    <row r="11" spans="1:11" ht="13.9" x14ac:dyDescent="0.4">
      <c r="A11" s="6" t="s">
        <v>3</v>
      </c>
      <c r="B11" s="7"/>
      <c r="C11" s="8"/>
      <c r="D11" s="7"/>
      <c r="E11" s="7"/>
    </row>
    <row r="12" spans="1:11" ht="13.9" x14ac:dyDescent="0.4">
      <c r="A12" s="6" t="s">
        <v>4</v>
      </c>
      <c r="B12" s="7"/>
      <c r="C12" s="8"/>
      <c r="D12" s="7"/>
      <c r="E12" s="7"/>
    </row>
    <row r="13" spans="1:11" ht="13.9" x14ac:dyDescent="0.4">
      <c r="A13" s="6" t="s">
        <v>5</v>
      </c>
      <c r="B13" s="7"/>
      <c r="C13" s="7"/>
      <c r="D13" s="8"/>
      <c r="E13" s="7"/>
    </row>
    <row r="14" spans="1:11" ht="13.9" x14ac:dyDescent="0.4">
      <c r="A14" s="9"/>
      <c r="B14" s="9"/>
      <c r="C14" s="9"/>
      <c r="D14" s="10"/>
      <c r="E14" s="9"/>
    </row>
    <row r="15" spans="1:11" ht="13.9" x14ac:dyDescent="0.4">
      <c r="A15" s="11" t="s">
        <v>6</v>
      </c>
      <c r="B15" s="5"/>
      <c r="C15" s="5"/>
      <c r="D15" s="5"/>
      <c r="E15" s="5"/>
    </row>
    <row r="16" spans="1:11" ht="13.9" x14ac:dyDescent="0.4">
      <c r="A16" s="12" t="s">
        <v>7</v>
      </c>
      <c r="B16" s="9"/>
      <c r="C16" s="9"/>
      <c r="D16" s="9"/>
      <c r="E16" s="9"/>
    </row>
    <row r="17" spans="1:6" ht="13.9" x14ac:dyDescent="0.4">
      <c r="A17" s="12" t="s">
        <v>8</v>
      </c>
      <c r="B17" s="9"/>
      <c r="C17" s="9"/>
      <c r="D17" s="9"/>
      <c r="E17" s="9"/>
    </row>
    <row r="18" spans="1:6" ht="13.9" x14ac:dyDescent="0.4">
      <c r="A18" s="12" t="s">
        <v>9</v>
      </c>
      <c r="B18" s="9"/>
      <c r="C18" s="9"/>
      <c r="D18" s="9"/>
      <c r="E18" s="9"/>
    </row>
    <row r="19" spans="1:6" ht="13.9" x14ac:dyDescent="0.4">
      <c r="A19" s="9"/>
      <c r="B19" s="9"/>
      <c r="C19" s="9"/>
      <c r="D19" s="9"/>
      <c r="E19" s="9"/>
      <c r="F19" s="13"/>
    </row>
    <row r="20" spans="1:6" ht="13.9" x14ac:dyDescent="0.4">
      <c r="A20" s="5" t="s">
        <v>10</v>
      </c>
      <c r="B20" s="5"/>
      <c r="C20" s="5"/>
      <c r="D20" s="5"/>
      <c r="E20" s="5"/>
    </row>
    <row r="21" spans="1:6" ht="13.9" x14ac:dyDescent="0.4">
      <c r="A21" s="9" t="s">
        <v>11</v>
      </c>
      <c r="B21" s="9"/>
      <c r="C21" s="9"/>
      <c r="D21" s="9"/>
      <c r="E21" s="9"/>
    </row>
    <row r="22" spans="1:6" ht="13.9" x14ac:dyDescent="0.4">
      <c r="A22" s="9"/>
      <c r="B22" s="9"/>
      <c r="C22" s="9"/>
      <c r="D22" s="9"/>
      <c r="E22" s="9"/>
    </row>
    <row r="23" spans="1:6" ht="13.9" x14ac:dyDescent="0.4">
      <c r="A23" s="9"/>
      <c r="B23" s="14" t="s">
        <v>12</v>
      </c>
      <c r="C23" s="14" t="s">
        <v>13</v>
      </c>
      <c r="D23" s="15"/>
      <c r="E23" s="9"/>
    </row>
    <row r="24" spans="1:6" ht="13.9" x14ac:dyDescent="0.4">
      <c r="A24" s="9"/>
      <c r="B24" s="16" t="s">
        <v>14</v>
      </c>
      <c r="C24" s="17" t="s">
        <v>15</v>
      </c>
      <c r="D24" s="18"/>
      <c r="E24" s="9"/>
    </row>
    <row r="25" spans="1:6" ht="13.9" x14ac:dyDescent="0.4">
      <c r="A25" s="9"/>
      <c r="B25" s="19" t="s">
        <v>16</v>
      </c>
      <c r="C25" s="17" t="s">
        <v>17</v>
      </c>
      <c r="D25" s="17"/>
      <c r="E25" s="9"/>
    </row>
    <row r="26" spans="1:6" ht="13.9" x14ac:dyDescent="0.4">
      <c r="A26" s="17"/>
      <c r="B26" s="19" t="s">
        <v>18</v>
      </c>
      <c r="C26" s="9" t="s">
        <v>19</v>
      </c>
      <c r="D26" s="17"/>
      <c r="E26" s="17"/>
    </row>
    <row r="27" spans="1:6" ht="13.9" x14ac:dyDescent="0.4">
      <c r="A27" s="17"/>
      <c r="B27" s="19" t="s">
        <v>20</v>
      </c>
      <c r="C27" s="9" t="s">
        <v>21</v>
      </c>
      <c r="D27" s="17"/>
      <c r="E27" s="17"/>
    </row>
    <row r="28" spans="1:6" ht="13.9" x14ac:dyDescent="0.4">
      <c r="A28" s="17"/>
      <c r="B28" s="19" t="s">
        <v>22</v>
      </c>
      <c r="C28" s="9" t="s">
        <v>23</v>
      </c>
      <c r="D28" s="17"/>
      <c r="E28" s="17"/>
    </row>
    <row r="29" spans="1:6" ht="13.9" x14ac:dyDescent="0.4">
      <c r="A29" s="17"/>
      <c r="B29" s="19" t="s">
        <v>24</v>
      </c>
      <c r="C29" s="9" t="s">
        <v>25</v>
      </c>
      <c r="D29" s="17"/>
      <c r="E29" s="17"/>
    </row>
    <row r="30" spans="1:6" ht="13.9" x14ac:dyDescent="0.4">
      <c r="A30" s="17"/>
      <c r="B30" s="19" t="s">
        <v>26</v>
      </c>
      <c r="C30" s="9" t="s">
        <v>27</v>
      </c>
      <c r="D30" s="17"/>
      <c r="E30" s="17"/>
    </row>
    <row r="31" spans="1:6" ht="13.9" x14ac:dyDescent="0.4">
      <c r="A31" s="17"/>
      <c r="B31" s="19" t="s">
        <v>28</v>
      </c>
      <c r="C31" s="9" t="s">
        <v>29</v>
      </c>
      <c r="D31" s="17"/>
      <c r="E31" s="17"/>
    </row>
    <row r="32" spans="1:6" ht="13.9" x14ac:dyDescent="0.4">
      <c r="A32" s="17"/>
      <c r="B32" s="19" t="s">
        <v>30</v>
      </c>
      <c r="C32" s="9" t="s">
        <v>31</v>
      </c>
      <c r="D32" s="17"/>
      <c r="E32" s="17"/>
    </row>
    <row r="33" spans="1:5" ht="13.9" x14ac:dyDescent="0.4">
      <c r="A33" s="17"/>
      <c r="B33" s="19" t="s">
        <v>32</v>
      </c>
      <c r="C33" s="9" t="s">
        <v>33</v>
      </c>
      <c r="D33" s="17"/>
      <c r="E33" s="17"/>
    </row>
    <row r="34" spans="1:5" ht="13.9" x14ac:dyDescent="0.4">
      <c r="A34" s="17"/>
      <c r="B34" s="19" t="s">
        <v>34</v>
      </c>
      <c r="C34" s="9" t="s">
        <v>35</v>
      </c>
      <c r="D34" s="17"/>
      <c r="E34" s="17"/>
    </row>
    <row r="35" spans="1:5" ht="13.9" x14ac:dyDescent="0.4">
      <c r="A35" s="17"/>
      <c r="B35" s="19" t="s">
        <v>36</v>
      </c>
      <c r="C35" s="9" t="s">
        <v>37</v>
      </c>
      <c r="D35" s="17"/>
      <c r="E35" s="17"/>
    </row>
    <row r="36" spans="1:5" ht="13.9" x14ac:dyDescent="0.4">
      <c r="A36" s="17"/>
      <c r="B36" s="19" t="s">
        <v>38</v>
      </c>
      <c r="C36" s="9" t="s">
        <v>39</v>
      </c>
      <c r="D36" s="17"/>
      <c r="E36" s="17"/>
    </row>
    <row r="37" spans="1:5" ht="13.9" x14ac:dyDescent="0.4">
      <c r="A37" s="17"/>
      <c r="B37" s="19" t="s">
        <v>40</v>
      </c>
      <c r="C37" s="9" t="s">
        <v>41</v>
      </c>
      <c r="D37" s="17"/>
      <c r="E37" s="17"/>
    </row>
    <row r="38" spans="1:5" ht="13.9" x14ac:dyDescent="0.4">
      <c r="A38" s="17"/>
      <c r="B38" s="19" t="s">
        <v>42</v>
      </c>
      <c r="C38" s="9" t="s">
        <v>43</v>
      </c>
      <c r="D38" s="17"/>
      <c r="E38" s="17"/>
    </row>
    <row r="39" spans="1:5" ht="13.9" x14ac:dyDescent="0.4">
      <c r="A39" s="17"/>
      <c r="B39" s="19" t="s">
        <v>44</v>
      </c>
      <c r="C39" s="9" t="s">
        <v>45</v>
      </c>
      <c r="D39" s="17"/>
      <c r="E39" s="17"/>
    </row>
    <row r="40" spans="1:5" ht="13.9" x14ac:dyDescent="0.4">
      <c r="A40" s="17"/>
      <c r="B40" s="19" t="s">
        <v>46</v>
      </c>
      <c r="C40" s="9" t="s">
        <v>47</v>
      </c>
      <c r="D40" s="17"/>
      <c r="E40" s="17"/>
    </row>
    <row r="41" spans="1:5" ht="13.9" x14ac:dyDescent="0.4">
      <c r="A41" s="17"/>
      <c r="B41" s="19" t="s">
        <v>48</v>
      </c>
      <c r="C41" s="9" t="s">
        <v>49</v>
      </c>
      <c r="D41" s="17"/>
      <c r="E41" s="17"/>
    </row>
    <row r="42" spans="1:5" ht="13.9" x14ac:dyDescent="0.4">
      <c r="A42" s="17"/>
      <c r="B42" s="20" t="s">
        <v>50</v>
      </c>
      <c r="C42" s="9" t="s">
        <v>51</v>
      </c>
      <c r="D42" s="17"/>
      <c r="E42" s="17"/>
    </row>
    <row r="43" spans="1:5" ht="13.9" x14ac:dyDescent="0.4">
      <c r="A43" s="17"/>
      <c r="B43" s="20" t="s">
        <v>52</v>
      </c>
      <c r="C43" s="9" t="s">
        <v>53</v>
      </c>
      <c r="D43" s="17"/>
      <c r="E43" s="17"/>
    </row>
    <row r="44" spans="1:5" ht="13.9" x14ac:dyDescent="0.4">
      <c r="A44" s="17"/>
      <c r="B44" s="20" t="s">
        <v>54</v>
      </c>
      <c r="C44" s="9" t="s">
        <v>55</v>
      </c>
      <c r="D44" s="17"/>
      <c r="E44" s="17"/>
    </row>
    <row r="45" spans="1:5" ht="13.9" x14ac:dyDescent="0.4">
      <c r="A45" s="17"/>
      <c r="B45" s="20" t="s">
        <v>56</v>
      </c>
      <c r="C45" s="9" t="s">
        <v>57</v>
      </c>
      <c r="D45" s="17"/>
      <c r="E45" s="17"/>
    </row>
    <row r="46" spans="1:5" ht="13.9" x14ac:dyDescent="0.4">
      <c r="A46" s="17"/>
      <c r="B46" s="20" t="s">
        <v>58</v>
      </c>
      <c r="C46" s="9" t="s">
        <v>59</v>
      </c>
      <c r="D46" s="17"/>
      <c r="E46" s="17"/>
    </row>
    <row r="47" spans="1:5" ht="13.9" x14ac:dyDescent="0.4">
      <c r="A47" s="17"/>
      <c r="B47" s="20" t="s">
        <v>60</v>
      </c>
      <c r="C47" s="9" t="s">
        <v>61</v>
      </c>
      <c r="D47" s="17"/>
      <c r="E47" s="17"/>
    </row>
    <row r="48" spans="1:5" ht="13.9" x14ac:dyDescent="0.4">
      <c r="A48" s="17"/>
      <c r="B48" s="19" t="s">
        <v>62</v>
      </c>
      <c r="C48" s="9" t="s">
        <v>63</v>
      </c>
      <c r="D48" s="17"/>
      <c r="E48" s="17"/>
    </row>
    <row r="49" spans="1:5" ht="13.9" x14ac:dyDescent="0.4">
      <c r="A49" s="17"/>
      <c r="B49" s="19" t="s">
        <v>64</v>
      </c>
      <c r="C49" s="9" t="s">
        <v>65</v>
      </c>
      <c r="D49" s="17"/>
      <c r="E49" s="17"/>
    </row>
    <row r="50" spans="1:5" ht="13.9" x14ac:dyDescent="0.4">
      <c r="A50" s="17"/>
      <c r="B50" s="19" t="s">
        <v>66</v>
      </c>
      <c r="C50" s="9" t="s">
        <v>67</v>
      </c>
      <c r="D50" s="17"/>
      <c r="E50" s="17"/>
    </row>
    <row r="51" spans="1:5" ht="13.9" x14ac:dyDescent="0.4">
      <c r="A51" s="17"/>
      <c r="B51" s="19" t="s">
        <v>68</v>
      </c>
      <c r="C51" s="9" t="s">
        <v>69</v>
      </c>
      <c r="D51" s="17"/>
      <c r="E51" s="17"/>
    </row>
    <row r="52" spans="1:5" ht="13.9" x14ac:dyDescent="0.4">
      <c r="A52" s="17"/>
      <c r="B52" s="19" t="s">
        <v>70</v>
      </c>
      <c r="C52" s="9" t="s">
        <v>71</v>
      </c>
      <c r="D52" s="17"/>
      <c r="E52" s="17"/>
    </row>
    <row r="53" spans="1:5" ht="13.9" x14ac:dyDescent="0.4">
      <c r="A53" s="17"/>
      <c r="B53" s="19" t="s">
        <v>72</v>
      </c>
      <c r="C53" s="9" t="s">
        <v>73</v>
      </c>
      <c r="D53" s="17"/>
      <c r="E53" s="17"/>
    </row>
    <row r="54" spans="1:5" ht="13.9" x14ac:dyDescent="0.4">
      <c r="A54" s="17"/>
      <c r="B54" s="19" t="s">
        <v>74</v>
      </c>
      <c r="C54" s="9" t="s">
        <v>75</v>
      </c>
      <c r="D54" s="17"/>
      <c r="E54" s="17"/>
    </row>
    <row r="55" spans="1:5" ht="13.9" x14ac:dyDescent="0.4">
      <c r="A55" s="17"/>
      <c r="B55" s="19" t="s">
        <v>76</v>
      </c>
      <c r="C55" s="9" t="s">
        <v>77</v>
      </c>
      <c r="D55" s="17"/>
      <c r="E55" s="17"/>
    </row>
    <row r="56" spans="1:5" ht="13.9" x14ac:dyDescent="0.4">
      <c r="A56" s="17"/>
      <c r="B56" s="19" t="s">
        <v>78</v>
      </c>
      <c r="C56" s="9" t="s">
        <v>79</v>
      </c>
      <c r="D56" s="17"/>
      <c r="E56" s="17"/>
    </row>
    <row r="57" spans="1:5" ht="13.9" x14ac:dyDescent="0.4">
      <c r="A57" s="17"/>
      <c r="B57" s="19" t="s">
        <v>80</v>
      </c>
      <c r="C57" s="9" t="s">
        <v>81</v>
      </c>
      <c r="D57" s="17"/>
      <c r="E57" s="17"/>
    </row>
    <row r="58" spans="1:5" ht="13.9" x14ac:dyDescent="0.4">
      <c r="A58" s="17"/>
      <c r="B58" s="19" t="s">
        <v>82</v>
      </c>
      <c r="C58" s="9" t="s">
        <v>83</v>
      </c>
      <c r="D58" s="17"/>
      <c r="E58" s="17"/>
    </row>
    <row r="59" spans="1:5" ht="13.9" x14ac:dyDescent="0.4">
      <c r="A59" s="17"/>
      <c r="B59" s="19" t="s">
        <v>84</v>
      </c>
      <c r="C59" s="9" t="s">
        <v>85</v>
      </c>
      <c r="D59" s="17"/>
      <c r="E59" s="17"/>
    </row>
    <row r="60" spans="1:5" ht="13.9" x14ac:dyDescent="0.4">
      <c r="A60" s="17"/>
      <c r="B60" s="19" t="s">
        <v>86</v>
      </c>
      <c r="C60" s="9" t="s">
        <v>87</v>
      </c>
      <c r="D60" s="17"/>
      <c r="E60" s="17"/>
    </row>
    <row r="61" spans="1:5" ht="13.9" x14ac:dyDescent="0.4">
      <c r="A61" s="17"/>
      <c r="B61" s="19" t="s">
        <v>88</v>
      </c>
      <c r="C61" s="9" t="s">
        <v>89</v>
      </c>
      <c r="D61" s="17"/>
      <c r="E61" s="17"/>
    </row>
    <row r="62" spans="1:5" ht="13.9" x14ac:dyDescent="0.4">
      <c r="A62" s="17"/>
      <c r="B62" s="19" t="s">
        <v>90</v>
      </c>
      <c r="C62" s="9" t="s">
        <v>91</v>
      </c>
      <c r="D62" s="17"/>
      <c r="E62" s="17"/>
    </row>
    <row r="63" spans="1:5" ht="13.9" x14ac:dyDescent="0.4">
      <c r="A63" s="17"/>
      <c r="B63" s="19" t="s">
        <v>92</v>
      </c>
      <c r="C63" s="21" t="s">
        <v>93</v>
      </c>
      <c r="D63" s="17"/>
      <c r="E63" s="17"/>
    </row>
    <row r="64" spans="1:5" ht="13.9" x14ac:dyDescent="0.4">
      <c r="A64" s="17"/>
      <c r="B64" s="17"/>
      <c r="C64" s="17"/>
      <c r="D64" s="17"/>
      <c r="E64" s="17"/>
    </row>
    <row r="65" spans="1:5" ht="13.9" x14ac:dyDescent="0.4">
      <c r="A65" s="5" t="s">
        <v>94</v>
      </c>
      <c r="B65" s="5"/>
      <c r="C65" s="5"/>
      <c r="D65" s="5"/>
      <c r="E65" s="5"/>
    </row>
    <row r="66" spans="1:5" ht="13.9" x14ac:dyDescent="0.4">
      <c r="A66" s="12" t="s">
        <v>95</v>
      </c>
      <c r="B66" s="17"/>
      <c r="C66" s="17"/>
      <c r="D66" s="17"/>
      <c r="E66" s="17"/>
    </row>
    <row r="67" spans="1:5" ht="13.9" x14ac:dyDescent="0.4">
      <c r="A67" s="12" t="s">
        <v>96</v>
      </c>
      <c r="B67" s="17"/>
      <c r="C67" s="17"/>
      <c r="D67" s="17"/>
      <c r="E67" s="17"/>
    </row>
  </sheetData>
  <mergeCells count="1">
    <mergeCell ref="A7:K7"/>
  </mergeCells>
  <hyperlinks>
    <hyperlink ref="B26" location="'EXHIBIT A1'!A1" display="Exhibit A1" xr:uid="{37B5611F-C69F-4E36-B1B1-63F77BDC1A18}"/>
    <hyperlink ref="B27" location="'EXHIBIT A2-1'!A1" display="Exhibit A2-1" xr:uid="{E7FF6D9A-09C6-43BF-B405-3FB5C652EC41}"/>
    <hyperlink ref="B28" location="'EXHIBIT A2-2'!A1" display="Exhibit A2-2" xr:uid="{1F45A150-5934-4BBD-BFB1-0E541EA18C2D}"/>
    <hyperlink ref="B31" location="'EXHIBIT B1-1'!A1" display="Exhibit B1" xr:uid="{1C0B1CE5-E1A0-4DDE-9F3E-0C76681FE5AF}"/>
    <hyperlink ref="B37" location="'EXHIBIT B3'!A1" display="Exhibit B3" xr:uid="{3BD0DC8C-8EE2-4DAC-88D4-56C1AAD5B404}"/>
    <hyperlink ref="B38" location="'EXHIBIT C1'!A1" display="Exhibit C1" xr:uid="{D59D30CB-9333-4A84-B041-13C4D16FE287}"/>
    <hyperlink ref="B39" location="'EXHIBIT C2'!A1" display="Exhibit C2" xr:uid="{2A873342-FDFC-4B04-B0F5-21191A4B5A93}"/>
    <hyperlink ref="B41" location="'EXHIBIT C4-1'!A1" display="Exhibit C4-1" xr:uid="{B730CFEF-B605-4FA5-9390-5C7774F9FFA8}"/>
    <hyperlink ref="B48" location="'EXHIBIT C5'!A1" display="Exhibit C5" xr:uid="{25BF8ACD-D7B9-4778-A613-F5620D8BCA3E}"/>
    <hyperlink ref="B49" location="'EXHIBIT C6'!A1" display="Exhibit C6" xr:uid="{ADD5AAF6-64B8-4C50-9A43-E6DB66076160}"/>
    <hyperlink ref="B50" location="'EXHIBIT C7-1'!A1" display="Exhibit C7-1" xr:uid="{EF125D05-B4E4-4EB6-9524-B9F06A9023FC}"/>
    <hyperlink ref="B54" location="'EXHIBIT C8-1'!A1" display="Exhibit C8-1" xr:uid="{9266CA77-A64A-4162-A4CE-B08977DDA31C}"/>
    <hyperlink ref="B58" location="'EXHIBIT C9'!A1" display="Exhibit C9" xr:uid="{4197C27C-7CF3-462A-AEA8-EAC76FB0F573}"/>
    <hyperlink ref="B40" location="'EXHIBIT C3'!A1" display="Exhibit C2a" xr:uid="{1353B3C7-6C5A-4AC1-A882-24E25E127998}"/>
    <hyperlink ref="B29" location="'EXHIBIT A2-3'!A1" display="Exhibit A2-3" xr:uid="{AC085341-4BCA-4B32-9D62-8230E5CBACA2}"/>
    <hyperlink ref="B30" location="'EXHIBIT A3'!A1" display="Exhibit A3" xr:uid="{165517AC-2894-4C32-892D-E37C5F7BF6D2}"/>
    <hyperlink ref="B32:B34" location="'EXHIBIT B1-1'!A1" display="Exhibit B1" xr:uid="{2195CE30-8A00-448D-9142-23E93430D046}"/>
    <hyperlink ref="B32" location="'EXHIBIT B1-2'!A1" display="Exhibit B1-2" xr:uid="{382651A1-DAF1-4F44-A345-845F00B2A2B6}"/>
    <hyperlink ref="B33" location="'EXHIBIT B1-3'!A1" display="Exhibit B1-3" xr:uid="{DE86E100-7771-476A-BC04-A75CCD11F8F4}"/>
    <hyperlink ref="B34" location="'EXHIBIT B1-4'!A1" display="Exhibit B1-4" xr:uid="{A63C4485-B000-4C5E-BB86-4625C60E18D3}"/>
    <hyperlink ref="B35:B36" location="'EXHIBIT B1-1'!A1" display="Exhibit B1" xr:uid="{C4F555FC-4D9C-44B8-A87A-2F74B38B9255}"/>
    <hyperlink ref="B35" location="'EXHIBIT B2-1'!A1" display="Exhibit B2-1" xr:uid="{E6967D2B-99E3-414E-9AFA-E334E4A421F1}"/>
    <hyperlink ref="B36" location="'EXHIBIT B2-2'!A1" display="Exhibit B2-2" xr:uid="{3EAC83EE-4EA8-42AD-B4B1-B3030B3DA5CA}"/>
    <hyperlink ref="B51:B53" location="'Exhibit C7'!A1" display="Exhibit C7" xr:uid="{C4432BE6-1F5F-4795-8DFE-74EFA7F8BB2B}"/>
    <hyperlink ref="B51" location="'EXHIBIT C7-2'!A1" display="Exhibit C7-2" xr:uid="{52989BFD-E819-4321-A0AB-8849B06BD5BC}"/>
    <hyperlink ref="B52" location="'EXHIBIT C7-3'!A1" display="Exhibit C7-3" xr:uid="{E0A3EEDF-9742-43B6-A967-8CE47CB5964A}"/>
    <hyperlink ref="B53" location="'EXHIBIT C7-4'!A1" display="Exhibit C7-4" xr:uid="{6EF9B25F-411D-41A2-A3B9-B908ADDDBADC}"/>
    <hyperlink ref="B55:B57" location="'Exhibit C8'!A1" display="Exhibit C8" xr:uid="{03BB4005-7681-4542-A4B7-948957C40DA2}"/>
    <hyperlink ref="B55" location="'EXHIBIT C8-2'!A1" display="Exhibit C8-2" xr:uid="{63404565-C161-4B55-B379-9360DCA06A52}"/>
    <hyperlink ref="B56" location="'EXHIBIT C8-3'!A1" display="Exhibit C8-3" xr:uid="{F3F9895A-6ABB-4FF3-AB85-D55943B2D911}"/>
    <hyperlink ref="B57" location="'EXHIBIT C8-4'!A1" display="Exhibit C8-4" xr:uid="{54827DF5-3F3A-408C-92C6-67BA72853D77}"/>
    <hyperlink ref="B59" location="'EXHIBIT C10'!A1" display="Exhibit C10" xr:uid="{939CD113-6027-4733-A011-E2D97120DAD0}"/>
    <hyperlink ref="B60" location="'EXHIBIT C11-1'!A1" display="Exhibit C11-1" xr:uid="{3E7E6AAF-1A26-499F-BFD2-A3BEDC716B5B}"/>
    <hyperlink ref="B61:B62" location="'EXHIBIT C9'!A1" display="Exhibit C9" xr:uid="{1CBB3919-486A-4F99-BC18-3E456B7D35F3}"/>
    <hyperlink ref="B61" location="'EXHIBIT C11-2'!A1" display="Exhibit C11-2" xr:uid="{0E7C693F-DD4D-468E-BD4D-98F96E90091F}"/>
    <hyperlink ref="B62" location="'EXHIBIT C11-3'!A1" display="Exhibit C11-3" xr:uid="{35D5FB47-FF62-4FB4-AE4D-D57E0B204459}"/>
    <hyperlink ref="B47" location="'EXHIBIT C4-7'!A1" display="Exhibit C4-7" xr:uid="{ABE7FC49-990E-43D8-8B37-6A1B5422ACE3}"/>
    <hyperlink ref="B46" location="'EXHIBIT C4-6'!A1" display="Exhibit C4-6" xr:uid="{E67420C5-1CE8-4301-901E-F71CA132AD79}"/>
    <hyperlink ref="B45" location="'EXHIBIT C4-5'!A1" display="Exhibit C4-5" xr:uid="{DCBC7E0B-2D76-4A01-B016-7D892D1047A1}"/>
    <hyperlink ref="B44" location="'EXHIBIT C4-4'!A1" display="Exhibit C4-4" xr:uid="{912E0FB2-8659-4438-9453-FE34E872A7E1}"/>
    <hyperlink ref="B43" location="'EXHIBIT C4-3'!A1" display="Exhibit C4-3" xr:uid="{7544E23E-CDBE-41DB-9F26-01C1EAEF9998}"/>
    <hyperlink ref="B42" location="'EXHIBIT C4-2'!A1" display="Exhibit C4-2" xr:uid="{3E177204-1FF4-408E-9382-E06A60D9EEDD}"/>
    <hyperlink ref="B63" location="'Exhibit D1'!A1" display="Exhibit D1" xr:uid="{18346DEC-2617-4C32-85DB-E1850EEF1AA6}"/>
    <hyperlink ref="B25" location="DZ_INPUTS!A1" display="DZ_Inputs" xr:uid="{CBB03558-010B-46A7-9766-FB006388DFE9}"/>
  </hyperlinks>
  <printOptions horizontalCentered="1"/>
  <pageMargins left="0.7" right="0.7" top="0.75" bottom="0.75" header="0.3" footer="0.3"/>
  <pageSetup firstPageNumber="0" orientation="portrait" useFirstPageNumber="1" r:id="rId1"/>
  <headerFooter>
    <oddHeader>&amp;L&amp;"Times New Roman"&amp;9INSURANCE SERVICES OFFICE, INC.</oddHeader>
    <oddFooter>&amp;C&amp;"Times New Roman"&amp;9© Insurance Services Office, Inc., 2022        		OREGON        BP-2021-RLA1&amp;R&amp;"Times New Roman"&amp;9&amp;A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98D77-674B-4116-A732-B117ED15FC28}">
  <dimension ref="A1:O38"/>
  <sheetViews>
    <sheetView zoomScaleNormal="100" workbookViewId="0"/>
  </sheetViews>
  <sheetFormatPr defaultRowHeight="12.75" x14ac:dyDescent="0.35"/>
  <cols>
    <col min="1" max="1" width="9.06640625" style="84"/>
    <col min="2" max="2" width="9.86328125" style="84" customWidth="1"/>
    <col min="3" max="3" width="2" style="84" customWidth="1"/>
    <col min="4" max="4" width="13.265625" style="84" customWidth="1"/>
    <col min="5" max="5" width="10.59765625" style="84" customWidth="1"/>
    <col min="6" max="6" width="3.73046875" style="84" customWidth="1"/>
    <col min="7" max="7" width="13.59765625" style="84" customWidth="1"/>
    <col min="8" max="8" width="8.59765625" style="84" customWidth="1"/>
    <col min="9" max="9" width="4.73046875" style="84" customWidth="1"/>
    <col min="10" max="10" width="7.86328125" style="84" customWidth="1"/>
    <col min="11" max="11" width="4.73046875" style="84" customWidth="1"/>
    <col min="12" max="12" width="7.86328125" style="84" customWidth="1"/>
    <col min="13" max="13" width="9.06640625" style="84"/>
    <col min="14" max="14" width="7.265625" style="84" customWidth="1"/>
    <col min="15" max="15" width="9.1328125" style="84" customWidth="1"/>
    <col min="16" max="16384" width="9.06640625" style="84"/>
  </cols>
  <sheetData>
    <row r="1" spans="1:15" ht="13.15" x14ac:dyDescent="0.4">
      <c r="A1" s="2"/>
      <c r="B1" s="241" t="str">
        <f>UPPER(state)</f>
        <v>OREGON</v>
      </c>
      <c r="C1" s="241"/>
      <c r="D1" s="241"/>
      <c r="E1" s="241"/>
      <c r="F1" s="241"/>
      <c r="G1" s="241"/>
      <c r="H1" s="241"/>
      <c r="I1" s="241"/>
      <c r="J1" s="241"/>
      <c r="K1" s="2"/>
    </row>
    <row r="2" spans="1:15" ht="13.15" x14ac:dyDescent="0.4">
      <c r="A2" s="2"/>
      <c r="B2" s="239"/>
      <c r="C2" s="239"/>
      <c r="D2" s="239"/>
      <c r="E2" s="239"/>
      <c r="F2" s="239"/>
      <c r="G2" s="239"/>
      <c r="H2" s="239"/>
      <c r="I2" s="239"/>
      <c r="J2" s="239"/>
      <c r="K2" s="2"/>
    </row>
    <row r="3" spans="1:15" ht="13.15" x14ac:dyDescent="0.4">
      <c r="A3" s="2"/>
      <c r="B3" s="241" t="s">
        <v>244</v>
      </c>
      <c r="C3" s="241"/>
      <c r="D3" s="241"/>
      <c r="E3" s="241"/>
      <c r="F3" s="241"/>
      <c r="G3" s="241"/>
      <c r="H3" s="241"/>
      <c r="I3" s="241"/>
      <c r="J3" s="241"/>
      <c r="K3" s="2"/>
    </row>
    <row r="4" spans="1:15" ht="13.15" x14ac:dyDescent="0.4">
      <c r="A4" s="2"/>
      <c r="B4" s="239"/>
      <c r="C4" s="239"/>
      <c r="D4" s="239"/>
      <c r="E4" s="239"/>
      <c r="F4" s="239"/>
      <c r="G4" s="239"/>
      <c r="H4" s="239"/>
      <c r="I4" s="239"/>
      <c r="J4" s="239"/>
      <c r="K4" s="2"/>
    </row>
    <row r="5" spans="1:15" ht="13.15" x14ac:dyDescent="0.4">
      <c r="A5" s="2"/>
      <c r="B5" s="241" t="s">
        <v>245</v>
      </c>
      <c r="C5" s="241"/>
      <c r="D5" s="241"/>
      <c r="E5" s="241"/>
      <c r="F5" s="241"/>
      <c r="G5" s="241"/>
      <c r="H5" s="241"/>
      <c r="I5" s="241"/>
      <c r="J5" s="241"/>
      <c r="K5" s="2"/>
    </row>
    <row r="6" spans="1:15" ht="13.15" x14ac:dyDescent="0.4">
      <c r="A6" s="2"/>
      <c r="B6" s="239"/>
      <c r="C6" s="239"/>
      <c r="D6" s="239"/>
      <c r="E6" s="239"/>
      <c r="F6" s="239"/>
      <c r="G6" s="239"/>
      <c r="H6" s="239"/>
      <c r="I6" s="239"/>
      <c r="J6" s="239"/>
      <c r="K6" s="2"/>
    </row>
    <row r="7" spans="1:15" ht="13.15" x14ac:dyDescent="0.4">
      <c r="A7" s="2"/>
      <c r="B7" s="241" t="s">
        <v>205</v>
      </c>
      <c r="C7" s="241"/>
      <c r="D7" s="241"/>
      <c r="E7" s="241"/>
      <c r="F7" s="241"/>
      <c r="G7" s="241"/>
      <c r="H7" s="241"/>
      <c r="I7" s="241"/>
      <c r="J7" s="241"/>
      <c r="K7" s="2"/>
    </row>
    <row r="8" spans="1:15" ht="13.15" x14ac:dyDescent="0.4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5" ht="13.15" x14ac:dyDescent="0.4">
      <c r="A9" s="2"/>
      <c r="B9" s="2"/>
      <c r="C9" s="2"/>
      <c r="D9" s="2"/>
      <c r="E9" s="2"/>
      <c r="F9" s="2"/>
      <c r="G9" s="2"/>
      <c r="H9" s="2"/>
      <c r="I9" s="2"/>
      <c r="J9" s="2"/>
      <c r="K9" s="2"/>
    </row>
    <row r="10" spans="1:15" ht="13.15" x14ac:dyDescent="0.4">
      <c r="A10" s="2"/>
      <c r="B10" s="2"/>
      <c r="C10" s="245" t="s">
        <v>206</v>
      </c>
      <c r="D10" s="245"/>
      <c r="E10" s="2"/>
      <c r="F10" s="245" t="s">
        <v>207</v>
      </c>
      <c r="G10" s="245"/>
      <c r="H10" s="2"/>
      <c r="I10" s="42"/>
      <c r="J10" s="62" t="s">
        <v>208</v>
      </c>
      <c r="K10" s="62"/>
      <c r="L10" s="85"/>
    </row>
    <row r="11" spans="1:15" ht="13.15" x14ac:dyDescent="0.4">
      <c r="A11" s="2"/>
      <c r="B11" s="2"/>
      <c r="C11" s="239"/>
      <c r="D11" s="239"/>
      <c r="E11" s="2"/>
      <c r="F11" s="241" t="s">
        <v>246</v>
      </c>
      <c r="G11" s="241"/>
      <c r="H11" s="2"/>
      <c r="I11" s="42"/>
      <c r="J11" s="62"/>
      <c r="K11" s="62"/>
      <c r="L11" s="85"/>
    </row>
    <row r="12" spans="1:15" ht="13.15" x14ac:dyDescent="0.4">
      <c r="A12" s="241"/>
      <c r="B12" s="241"/>
      <c r="C12" s="241" t="s">
        <v>246</v>
      </c>
      <c r="D12" s="241"/>
      <c r="E12" s="2"/>
      <c r="F12" s="241" t="s">
        <v>213</v>
      </c>
      <c r="G12" s="241"/>
      <c r="H12" s="2"/>
      <c r="I12" s="42"/>
      <c r="J12" s="42"/>
      <c r="K12" s="42"/>
      <c r="L12" s="86"/>
    </row>
    <row r="13" spans="1:15" ht="13.15" x14ac:dyDescent="0.4">
      <c r="A13" s="241" t="s">
        <v>214</v>
      </c>
      <c r="B13" s="241"/>
      <c r="C13" s="241" t="s">
        <v>215</v>
      </c>
      <c r="D13" s="241"/>
      <c r="E13" s="2"/>
      <c r="F13" s="241" t="s">
        <v>216</v>
      </c>
      <c r="G13" s="241"/>
      <c r="H13" s="2"/>
      <c r="I13" s="241"/>
      <c r="J13" s="241"/>
      <c r="K13" s="241"/>
      <c r="L13" s="86"/>
    </row>
    <row r="14" spans="1:15" ht="13.15" x14ac:dyDescent="0.4">
      <c r="A14" s="241" t="s">
        <v>109</v>
      </c>
      <c r="B14" s="241"/>
      <c r="C14" s="241" t="s">
        <v>217</v>
      </c>
      <c r="D14" s="241"/>
      <c r="E14" s="2"/>
      <c r="F14" s="241" t="s">
        <v>218</v>
      </c>
      <c r="G14" s="241"/>
      <c r="H14" s="2"/>
      <c r="I14" s="52"/>
      <c r="J14" s="42" t="s">
        <v>219</v>
      </c>
      <c r="K14" s="52"/>
      <c r="L14" s="87"/>
    </row>
    <row r="15" spans="1:15" ht="13.15" x14ac:dyDescent="0.4">
      <c r="A15" s="243" t="s">
        <v>221</v>
      </c>
      <c r="B15" s="243"/>
      <c r="C15" s="52"/>
      <c r="D15" s="52" t="s">
        <v>222</v>
      </c>
      <c r="E15" s="2"/>
      <c r="F15" s="2"/>
      <c r="G15" s="52" t="s">
        <v>223</v>
      </c>
      <c r="H15" s="2"/>
      <c r="I15" s="52"/>
      <c r="J15" s="52" t="s">
        <v>224</v>
      </c>
      <c r="K15" s="52"/>
      <c r="L15" s="87"/>
      <c r="O15" s="52" t="s">
        <v>226</v>
      </c>
    </row>
    <row r="16" spans="1:15" ht="13.15" x14ac:dyDescent="0.4">
      <c r="A16" s="241"/>
      <c r="B16" s="241"/>
      <c r="C16" s="2"/>
      <c r="D16" s="42"/>
      <c r="E16" s="2"/>
      <c r="F16" s="2"/>
      <c r="G16" s="42"/>
      <c r="H16" s="2"/>
      <c r="I16" s="2"/>
      <c r="J16" s="2"/>
      <c r="K16" s="2"/>
      <c r="O16" s="2"/>
    </row>
    <row r="17" spans="1:15" ht="13.15" x14ac:dyDescent="0.4">
      <c r="A17" s="249">
        <f t="shared" ref="A17:A19" si="0">DATE(YEAR(A18)-1,MONTH(A18),DAY(A18))</f>
        <v>42643</v>
      </c>
      <c r="B17" s="249"/>
      <c r="C17" s="2"/>
      <c r="D17" s="79">
        <v>100042830.45792276</v>
      </c>
      <c r="E17" s="13"/>
      <c r="F17" s="13"/>
      <c r="G17" s="79">
        <v>80413452.37372683</v>
      </c>
      <c r="H17" s="2"/>
      <c r="I17" s="75"/>
      <c r="J17" s="73">
        <f>ROUND(G17/D17,3)</f>
        <v>0.80400000000000005</v>
      </c>
      <c r="K17" s="75"/>
      <c r="L17" s="88"/>
      <c r="O17" s="80">
        <v>0.1</v>
      </c>
    </row>
    <row r="18" spans="1:15" ht="13.15" x14ac:dyDescent="0.4">
      <c r="A18" s="249">
        <f t="shared" si="0"/>
        <v>43008</v>
      </c>
      <c r="B18" s="249"/>
      <c r="C18" s="2"/>
      <c r="D18" s="89">
        <v>106860579.77009346</v>
      </c>
      <c r="E18" s="13"/>
      <c r="F18" s="13"/>
      <c r="G18" s="89">
        <v>88617229.051357597</v>
      </c>
      <c r="H18" s="2"/>
      <c r="I18" s="75"/>
      <c r="J18" s="73">
        <f>ROUND(G18/D18,3)</f>
        <v>0.82899999999999996</v>
      </c>
      <c r="K18" s="75"/>
      <c r="L18" s="88"/>
      <c r="O18" s="80">
        <v>0.15</v>
      </c>
    </row>
    <row r="19" spans="1:15" ht="13.15" x14ac:dyDescent="0.4">
      <c r="A19" s="249">
        <f t="shared" si="0"/>
        <v>43373</v>
      </c>
      <c r="B19" s="249"/>
      <c r="C19" s="2"/>
      <c r="D19" s="89">
        <v>101718279.82530099</v>
      </c>
      <c r="E19" s="13"/>
      <c r="F19" s="13"/>
      <c r="G19" s="89">
        <v>97362260.875588566</v>
      </c>
      <c r="H19" s="2"/>
      <c r="I19" s="75"/>
      <c r="J19" s="73">
        <f>ROUND(G19/D19,3)</f>
        <v>0.95699999999999996</v>
      </c>
      <c r="K19" s="75"/>
      <c r="L19" s="88"/>
      <c r="O19" s="80">
        <v>0.2</v>
      </c>
    </row>
    <row r="20" spans="1:15" ht="13.15" x14ac:dyDescent="0.4">
      <c r="A20" s="249">
        <f>DATE(YEAR(A21)-1,MONTH(A21),DAY(A21))</f>
        <v>43738</v>
      </c>
      <c r="B20" s="249"/>
      <c r="C20" s="2"/>
      <c r="D20" s="89">
        <v>89611932.742309481</v>
      </c>
      <c r="E20" s="13"/>
      <c r="F20" s="13"/>
      <c r="G20" s="89">
        <v>94757960.012991473</v>
      </c>
      <c r="H20" s="2"/>
      <c r="I20" s="75"/>
      <c r="J20" s="73">
        <f>ROUND(G20/D20,3)</f>
        <v>1.0569999999999999</v>
      </c>
      <c r="K20" s="75"/>
      <c r="L20" s="88"/>
      <c r="O20" s="78">
        <v>0.27500000000000002</v>
      </c>
    </row>
    <row r="21" spans="1:15" ht="13.15" x14ac:dyDescent="0.4">
      <c r="A21" s="249">
        <f>DZ_INPUTS!B3</f>
        <v>44104</v>
      </c>
      <c r="B21" s="249"/>
      <c r="C21" s="2"/>
      <c r="D21" s="89">
        <v>80564060.771574616</v>
      </c>
      <c r="E21" s="13"/>
      <c r="F21" s="13"/>
      <c r="G21" s="89">
        <v>73385682.5560835</v>
      </c>
      <c r="H21" s="2"/>
      <c r="I21" s="75"/>
      <c r="J21" s="73">
        <f>ROUND(G21/D21,3)</f>
        <v>0.91100000000000003</v>
      </c>
      <c r="K21" s="75"/>
      <c r="L21" s="88"/>
      <c r="O21" s="78">
        <v>0.27500000000000002</v>
      </c>
    </row>
    <row r="22" spans="1:15" ht="13.15" x14ac:dyDescent="0.4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</row>
    <row r="23" spans="1:15" ht="13.15" x14ac:dyDescent="0.4">
      <c r="A23" s="47"/>
      <c r="B23" s="239"/>
      <c r="C23" s="239"/>
      <c r="D23" s="239"/>
      <c r="E23" s="239"/>
      <c r="F23" s="2"/>
      <c r="G23" s="2"/>
      <c r="H23" s="2"/>
      <c r="I23" s="2"/>
      <c r="J23" s="2"/>
      <c r="K23" s="2"/>
    </row>
    <row r="24" spans="1:15" ht="13.15" x14ac:dyDescent="0.4">
      <c r="A24" s="90" t="s">
        <v>227</v>
      </c>
      <c r="B24" s="239" t="s">
        <v>228</v>
      </c>
      <c r="C24" s="239"/>
      <c r="D24" s="239"/>
      <c r="E24" s="239"/>
      <c r="F24" s="2"/>
      <c r="G24" s="90" t="s">
        <v>242</v>
      </c>
      <c r="H24" s="82">
        <f>ROUND(SUMPRODUCT(J17:J21,O17:O21),3)</f>
        <v>0.93700000000000006</v>
      </c>
      <c r="I24" s="2"/>
      <c r="J24" s="2"/>
      <c r="K24" s="2"/>
    </row>
    <row r="25" spans="1:15" ht="13.15" x14ac:dyDescent="0.4">
      <c r="A25" s="47"/>
      <c r="B25" s="239"/>
      <c r="C25" s="239"/>
      <c r="D25" s="239"/>
      <c r="E25" s="239"/>
      <c r="F25" s="2"/>
      <c r="G25" s="47"/>
      <c r="H25" s="91"/>
      <c r="I25" s="2"/>
      <c r="J25" s="2"/>
      <c r="K25" s="2"/>
    </row>
    <row r="26" spans="1:15" ht="13.15" x14ac:dyDescent="0.4">
      <c r="A26" s="90" t="s">
        <v>230</v>
      </c>
      <c r="B26" s="239" t="s">
        <v>231</v>
      </c>
      <c r="C26" s="239"/>
      <c r="D26" s="239"/>
      <c r="E26" s="239"/>
      <c r="F26" s="2"/>
      <c r="G26" s="90" t="s">
        <v>242</v>
      </c>
      <c r="H26" s="82">
        <f>'EXHIBIT C10'!E18</f>
        <v>1</v>
      </c>
      <c r="I26" s="2"/>
      <c r="J26" s="2"/>
      <c r="K26" s="2"/>
    </row>
    <row r="27" spans="1:15" ht="13.15" x14ac:dyDescent="0.4">
      <c r="A27" s="47"/>
      <c r="B27" s="239"/>
      <c r="C27" s="239"/>
      <c r="D27" s="239"/>
      <c r="E27" s="239"/>
      <c r="F27" s="2"/>
      <c r="G27" s="47"/>
      <c r="H27" s="91"/>
      <c r="I27" s="2"/>
      <c r="J27" s="2"/>
      <c r="K27" s="2"/>
    </row>
    <row r="28" spans="1:15" ht="13.15" x14ac:dyDescent="0.4">
      <c r="A28" s="90" t="s">
        <v>232</v>
      </c>
      <c r="B28" s="239" t="s">
        <v>233</v>
      </c>
      <c r="C28" s="239"/>
      <c r="D28" s="239"/>
      <c r="E28" s="239"/>
      <c r="F28" s="2"/>
      <c r="G28" s="90" t="s">
        <v>242</v>
      </c>
      <c r="H28" s="91">
        <f>'EXHIBIT B3'!H56</f>
        <v>1.028</v>
      </c>
      <c r="I28" s="2"/>
      <c r="J28" s="2"/>
      <c r="K28" s="2"/>
    </row>
    <row r="29" spans="1:15" ht="13.15" x14ac:dyDescent="0.4">
      <c r="A29" s="47"/>
      <c r="B29" s="239"/>
      <c r="C29" s="239"/>
      <c r="D29" s="239"/>
      <c r="E29" s="239"/>
      <c r="F29" s="2"/>
      <c r="G29" s="47"/>
      <c r="H29" s="91"/>
      <c r="I29" s="2"/>
      <c r="J29" s="2"/>
      <c r="K29" s="2"/>
    </row>
    <row r="30" spans="1:15" ht="13.15" x14ac:dyDescent="0.4">
      <c r="A30" s="90" t="s">
        <v>234</v>
      </c>
      <c r="B30" s="239" t="s">
        <v>235</v>
      </c>
      <c r="C30" s="239"/>
      <c r="D30" s="239"/>
      <c r="E30" s="239"/>
      <c r="F30" s="2"/>
      <c r="G30" s="90" t="s">
        <v>242</v>
      </c>
      <c r="H30" s="91">
        <f>ROUND(H24*H26+(1-H26)*H28,3)</f>
        <v>0.93700000000000006</v>
      </c>
      <c r="I30" s="2"/>
      <c r="J30" s="2"/>
      <c r="K30" s="2"/>
    </row>
    <row r="31" spans="1:15" ht="13.15" x14ac:dyDescent="0.4">
      <c r="A31" s="47"/>
      <c r="B31" s="239"/>
      <c r="C31" s="239"/>
      <c r="D31" s="239"/>
      <c r="E31" s="239"/>
      <c r="F31" s="2"/>
      <c r="G31" s="47"/>
      <c r="H31" s="91"/>
      <c r="I31" s="2"/>
      <c r="J31" s="2"/>
      <c r="K31" s="2"/>
    </row>
    <row r="32" spans="1:15" ht="13.15" x14ac:dyDescent="0.4">
      <c r="A32" s="90" t="s">
        <v>236</v>
      </c>
      <c r="B32" s="239" t="s">
        <v>243</v>
      </c>
      <c r="C32" s="239"/>
      <c r="D32" s="239"/>
      <c r="E32" s="239"/>
      <c r="F32" s="2"/>
      <c r="G32" s="90" t="s">
        <v>242</v>
      </c>
      <c r="H32" s="91">
        <f>H30</f>
        <v>0.93700000000000006</v>
      </c>
      <c r="I32" s="42" t="s">
        <v>237</v>
      </c>
      <c r="J32" s="58">
        <f>H30-1</f>
        <v>-6.2999999999999945E-2</v>
      </c>
      <c r="K32" s="2"/>
    </row>
    <row r="33" spans="1:11" ht="13.15" x14ac:dyDescent="0.4">
      <c r="A33" s="47"/>
      <c r="B33" s="239"/>
      <c r="C33" s="239"/>
      <c r="D33" s="239"/>
      <c r="E33" s="239"/>
      <c r="F33" s="2"/>
      <c r="G33" s="47"/>
      <c r="H33" s="2"/>
      <c r="I33" s="2"/>
      <c r="J33" s="2"/>
      <c r="K33" s="2"/>
    </row>
    <row r="34" spans="1:11" ht="13.15" x14ac:dyDescent="0.4">
      <c r="A34" s="90" t="s">
        <v>238</v>
      </c>
      <c r="B34" s="239" t="s">
        <v>239</v>
      </c>
      <c r="C34" s="239"/>
      <c r="D34" s="239"/>
      <c r="E34" s="239"/>
      <c r="F34" s="2"/>
      <c r="G34" s="90" t="s">
        <v>242</v>
      </c>
      <c r="H34" s="92">
        <f>J32</f>
        <v>-6.2999999999999945E-2</v>
      </c>
      <c r="I34" s="2"/>
      <c r="J34" s="2"/>
      <c r="K34" s="2"/>
    </row>
    <row r="35" spans="1:11" ht="13.15" x14ac:dyDescent="0.4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1:11" ht="13.15" x14ac:dyDescent="0.4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1" ht="13.15" x14ac:dyDescent="0.4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 ht="13.15" x14ac:dyDescent="0.4">
      <c r="A38" s="2"/>
      <c r="B38" s="239" t="str">
        <f>"NOTE: The assumed effective date for trending is "&amp;TEXT(DZ_INPUTS!$B$5,"m/d/yyyy")&amp;"."</f>
        <v>NOTE: The assumed effective date for trending is 3/1/2022.</v>
      </c>
      <c r="C38" s="239"/>
      <c r="D38" s="239"/>
      <c r="E38" s="239"/>
      <c r="F38" s="239"/>
      <c r="G38" s="239"/>
      <c r="H38" s="239"/>
      <c r="I38" s="2"/>
      <c r="J38" s="2"/>
      <c r="K38" s="2"/>
    </row>
  </sheetData>
  <mergeCells count="41">
    <mergeCell ref="B34:E34"/>
    <mergeCell ref="B38:H38"/>
    <mergeCell ref="B28:E28"/>
    <mergeCell ref="B29:E29"/>
    <mergeCell ref="B30:E30"/>
    <mergeCell ref="B31:E31"/>
    <mergeCell ref="B32:E32"/>
    <mergeCell ref="B33:E33"/>
    <mergeCell ref="B27:E27"/>
    <mergeCell ref="A15:B15"/>
    <mergeCell ref="A16:B16"/>
    <mergeCell ref="A17:B17"/>
    <mergeCell ref="A18:B18"/>
    <mergeCell ref="A19:B19"/>
    <mergeCell ref="A20:B20"/>
    <mergeCell ref="A21:B21"/>
    <mergeCell ref="B23:E23"/>
    <mergeCell ref="B24:E24"/>
    <mergeCell ref="B25:E25"/>
    <mergeCell ref="B26:E26"/>
    <mergeCell ref="A13:B13"/>
    <mergeCell ref="C13:D13"/>
    <mergeCell ref="F13:G13"/>
    <mergeCell ref="I13:K13"/>
    <mergeCell ref="A14:B14"/>
    <mergeCell ref="C14:D14"/>
    <mergeCell ref="F14:G14"/>
    <mergeCell ref="A12:B12"/>
    <mergeCell ref="C12:D12"/>
    <mergeCell ref="F12:G12"/>
    <mergeCell ref="B1:J1"/>
    <mergeCell ref="B2:J2"/>
    <mergeCell ref="B3:J3"/>
    <mergeCell ref="B4:J4"/>
    <mergeCell ref="B5:J5"/>
    <mergeCell ref="B6:J6"/>
    <mergeCell ref="B7:J7"/>
    <mergeCell ref="C10:D10"/>
    <mergeCell ref="F10:G10"/>
    <mergeCell ref="C11:D11"/>
    <mergeCell ref="F11:G11"/>
  </mergeCells>
  <printOptions horizontalCentered="1"/>
  <pageMargins left="0.7" right="0.7" top="0.75" bottom="0.75" header="0.3" footer="0.3"/>
  <pageSetup firstPageNumber="0" orientation="portrait" useFirstPageNumber="1" r:id="rId1"/>
  <headerFooter>
    <oddHeader>&amp;L&amp;"Times New Roman"&amp;9INSURANCE SERVICES OFFICE, INC.</oddHeader>
    <oddFooter>&amp;C&amp;"Times New Roman"&amp;9© Insurance Services Office, Inc., 2022        		OREGON        BP-2021-RLA1&amp;R&amp;"Times New Roman"&amp;9&amp;A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6D2EC7-03C8-4FB0-8A67-1FA484B6CEE3}">
  <dimension ref="A1:O38"/>
  <sheetViews>
    <sheetView zoomScaleNormal="100" workbookViewId="0"/>
  </sheetViews>
  <sheetFormatPr defaultColWidth="9.1328125" defaultRowHeight="13.15" x14ac:dyDescent="0.4"/>
  <cols>
    <col min="1" max="1" width="9.1328125" style="2"/>
    <col min="2" max="2" width="9.86328125" style="2" customWidth="1"/>
    <col min="3" max="3" width="2" style="2" customWidth="1"/>
    <col min="4" max="4" width="13.265625" style="2" customWidth="1"/>
    <col min="5" max="5" width="10.59765625" style="2" customWidth="1"/>
    <col min="6" max="6" width="3.73046875" style="2" customWidth="1"/>
    <col min="7" max="7" width="13.59765625" style="2" customWidth="1"/>
    <col min="8" max="8" width="8.59765625" style="2" customWidth="1"/>
    <col min="9" max="9" width="4.73046875" style="2" customWidth="1"/>
    <col min="10" max="10" width="7.86328125" style="2" customWidth="1"/>
    <col min="11" max="11" width="4.73046875" style="2" customWidth="1"/>
    <col min="12" max="12" width="7.86328125" style="2" customWidth="1"/>
    <col min="13" max="14" width="9.1328125" style="2"/>
    <col min="15" max="15" width="9.1328125" style="2" customWidth="1"/>
    <col min="16" max="16384" width="9.1328125" style="2"/>
  </cols>
  <sheetData>
    <row r="1" spans="1:15" x14ac:dyDescent="0.4">
      <c r="B1" s="241" t="str">
        <f>UPPER(state)</f>
        <v>OREGON</v>
      </c>
      <c r="C1" s="241"/>
      <c r="D1" s="241"/>
      <c r="E1" s="241"/>
      <c r="F1" s="241"/>
      <c r="G1" s="241"/>
      <c r="H1" s="241"/>
      <c r="I1" s="241"/>
      <c r="J1" s="241"/>
    </row>
    <row r="2" spans="1:15" x14ac:dyDescent="0.4">
      <c r="B2" s="239"/>
      <c r="C2" s="239"/>
      <c r="D2" s="239"/>
      <c r="E2" s="239"/>
      <c r="F2" s="239"/>
      <c r="G2" s="239"/>
      <c r="H2" s="239"/>
      <c r="I2" s="239"/>
      <c r="J2" s="239"/>
    </row>
    <row r="3" spans="1:15" x14ac:dyDescent="0.4">
      <c r="B3" s="241" t="s">
        <v>247</v>
      </c>
      <c r="C3" s="241"/>
      <c r="D3" s="241"/>
      <c r="E3" s="241"/>
      <c r="F3" s="241"/>
      <c r="G3" s="241"/>
      <c r="H3" s="241"/>
      <c r="I3" s="241"/>
      <c r="J3" s="241"/>
    </row>
    <row r="4" spans="1:15" x14ac:dyDescent="0.4">
      <c r="B4" s="239"/>
      <c r="C4" s="239"/>
      <c r="D4" s="239"/>
      <c r="E4" s="239"/>
      <c r="F4" s="239"/>
      <c r="G4" s="239"/>
      <c r="H4" s="239"/>
      <c r="I4" s="239"/>
      <c r="J4" s="239"/>
    </row>
    <row r="5" spans="1:15" x14ac:dyDescent="0.4">
      <c r="B5" s="241" t="s">
        <v>248</v>
      </c>
      <c r="C5" s="241"/>
      <c r="D5" s="241"/>
      <c r="E5" s="241"/>
      <c r="F5" s="241"/>
      <c r="G5" s="241"/>
      <c r="H5" s="241"/>
      <c r="I5" s="241"/>
      <c r="J5" s="241"/>
    </row>
    <row r="6" spans="1:15" x14ac:dyDescent="0.4">
      <c r="B6" s="239"/>
      <c r="C6" s="239"/>
      <c r="D6" s="239"/>
      <c r="E6" s="239"/>
      <c r="F6" s="239"/>
      <c r="G6" s="239"/>
      <c r="H6" s="239"/>
      <c r="I6" s="239"/>
      <c r="J6" s="239"/>
    </row>
    <row r="7" spans="1:15" x14ac:dyDescent="0.4">
      <c r="B7" s="241" t="s">
        <v>205</v>
      </c>
      <c r="C7" s="241"/>
      <c r="D7" s="241"/>
      <c r="E7" s="241"/>
      <c r="F7" s="241"/>
      <c r="G7" s="241"/>
      <c r="H7" s="241"/>
      <c r="I7" s="241"/>
      <c r="J7" s="241"/>
    </row>
    <row r="10" spans="1:15" x14ac:dyDescent="0.4">
      <c r="C10" s="245" t="s">
        <v>206</v>
      </c>
      <c r="D10" s="245"/>
      <c r="F10" s="245" t="s">
        <v>207</v>
      </c>
      <c r="G10" s="245"/>
      <c r="I10" s="42"/>
      <c r="J10" s="62" t="s">
        <v>208</v>
      </c>
      <c r="K10" s="62"/>
      <c r="L10" s="62"/>
    </row>
    <row r="11" spans="1:15" x14ac:dyDescent="0.4">
      <c r="C11" s="239"/>
      <c r="D11" s="239"/>
      <c r="F11" s="241" t="s">
        <v>246</v>
      </c>
      <c r="G11" s="241"/>
      <c r="I11" s="42"/>
      <c r="J11" s="62"/>
      <c r="K11" s="62"/>
      <c r="L11" s="62"/>
    </row>
    <row r="12" spans="1:15" x14ac:dyDescent="0.4">
      <c r="A12" s="241"/>
      <c r="B12" s="241"/>
      <c r="C12" s="241" t="s">
        <v>246</v>
      </c>
      <c r="D12" s="241"/>
      <c r="F12" s="241" t="s">
        <v>213</v>
      </c>
      <c r="G12" s="241"/>
      <c r="I12" s="42"/>
      <c r="J12" s="42"/>
      <c r="K12" s="42"/>
      <c r="L12" s="42"/>
    </row>
    <row r="13" spans="1:15" x14ac:dyDescent="0.4">
      <c r="A13" s="241" t="s">
        <v>214</v>
      </c>
      <c r="B13" s="241"/>
      <c r="C13" s="241" t="s">
        <v>215</v>
      </c>
      <c r="D13" s="241"/>
      <c r="F13" s="241" t="s">
        <v>216</v>
      </c>
      <c r="G13" s="241"/>
      <c r="I13" s="241"/>
      <c r="J13" s="241"/>
      <c r="K13" s="241"/>
      <c r="L13" s="42"/>
    </row>
    <row r="14" spans="1:15" x14ac:dyDescent="0.4">
      <c r="A14" s="241" t="s">
        <v>109</v>
      </c>
      <c r="B14" s="241"/>
      <c r="C14" s="241" t="s">
        <v>217</v>
      </c>
      <c r="D14" s="241"/>
      <c r="F14" s="241" t="s">
        <v>218</v>
      </c>
      <c r="G14" s="241"/>
      <c r="I14" s="52"/>
      <c r="J14" s="42" t="s">
        <v>219</v>
      </c>
      <c r="K14" s="52"/>
      <c r="L14" s="52"/>
    </row>
    <row r="15" spans="1:15" x14ac:dyDescent="0.4">
      <c r="A15" s="243" t="s">
        <v>221</v>
      </c>
      <c r="B15" s="243"/>
      <c r="C15" s="52"/>
      <c r="D15" s="52" t="s">
        <v>222</v>
      </c>
      <c r="G15" s="52" t="s">
        <v>223</v>
      </c>
      <c r="I15" s="52"/>
      <c r="J15" s="52" t="s">
        <v>224</v>
      </c>
      <c r="K15" s="52"/>
      <c r="L15" s="52"/>
      <c r="O15" s="52" t="s">
        <v>226</v>
      </c>
    </row>
    <row r="16" spans="1:15" x14ac:dyDescent="0.4">
      <c r="A16" s="241"/>
      <c r="B16" s="241"/>
      <c r="D16" s="42"/>
      <c r="G16" s="42"/>
    </row>
    <row r="17" spans="1:15" x14ac:dyDescent="0.4">
      <c r="A17" s="249">
        <f t="shared" ref="A17:A19" si="0">DATE(YEAR(A18)-1,MONTH(A18),DAY(A18))</f>
        <v>42643</v>
      </c>
      <c r="B17" s="249"/>
      <c r="D17" s="79">
        <v>55957254.098336726</v>
      </c>
      <c r="G17" s="79">
        <v>56373072.308363728</v>
      </c>
      <c r="I17" s="75"/>
      <c r="J17" s="73">
        <f>ROUND(G17/D17,3)</f>
        <v>1.0069999999999999</v>
      </c>
      <c r="K17" s="75"/>
      <c r="L17" s="75"/>
      <c r="O17" s="80">
        <v>0.1</v>
      </c>
    </row>
    <row r="18" spans="1:15" x14ac:dyDescent="0.4">
      <c r="A18" s="249">
        <f t="shared" si="0"/>
        <v>43008</v>
      </c>
      <c r="B18" s="249"/>
      <c r="D18" s="89">
        <v>58320097.03592445</v>
      </c>
      <c r="G18" s="89">
        <v>58041016.31472411</v>
      </c>
      <c r="I18" s="75"/>
      <c r="J18" s="73">
        <f>ROUND(G18/D18,3)</f>
        <v>0.995</v>
      </c>
      <c r="K18" s="75"/>
      <c r="L18" s="75"/>
      <c r="O18" s="80">
        <v>0.15</v>
      </c>
    </row>
    <row r="19" spans="1:15" x14ac:dyDescent="0.4">
      <c r="A19" s="249">
        <f t="shared" si="0"/>
        <v>43373</v>
      </c>
      <c r="B19" s="249"/>
      <c r="D19" s="89">
        <v>55523268.781593829</v>
      </c>
      <c r="G19" s="89">
        <v>58769515.768978663</v>
      </c>
      <c r="I19" s="75"/>
      <c r="J19" s="73">
        <f>ROUND(G19/D19,3)</f>
        <v>1.0580000000000001</v>
      </c>
      <c r="K19" s="75"/>
      <c r="L19" s="75"/>
      <c r="O19" s="80">
        <v>0.2</v>
      </c>
    </row>
    <row r="20" spans="1:15" x14ac:dyDescent="0.4">
      <c r="A20" s="249">
        <f>DATE(YEAR(A21)-1,MONTH(A21),DAY(A21))</f>
        <v>43738</v>
      </c>
      <c r="B20" s="249"/>
      <c r="D20" s="89">
        <v>52304689.899058573</v>
      </c>
      <c r="G20" s="89">
        <v>55018780.468491517</v>
      </c>
      <c r="I20" s="75"/>
      <c r="J20" s="73">
        <f>ROUND(G20/D20,3)</f>
        <v>1.052</v>
      </c>
      <c r="K20" s="75"/>
      <c r="L20" s="75"/>
      <c r="O20" s="78">
        <v>0.27500000000000002</v>
      </c>
    </row>
    <row r="21" spans="1:15" x14ac:dyDescent="0.4">
      <c r="A21" s="249">
        <f>DZ_INPUTS!B3</f>
        <v>44104</v>
      </c>
      <c r="B21" s="249"/>
      <c r="D21" s="89">
        <v>46833569.437424779</v>
      </c>
      <c r="G21" s="89">
        <v>50768716.069562614</v>
      </c>
      <c r="I21" s="75"/>
      <c r="J21" s="73">
        <f>ROUND(G21/D21,3)</f>
        <v>1.0840000000000001</v>
      </c>
      <c r="K21" s="75"/>
      <c r="L21" s="75"/>
      <c r="O21" s="78">
        <v>0.27500000000000002</v>
      </c>
    </row>
    <row r="23" spans="1:15" x14ac:dyDescent="0.4">
      <c r="A23" s="47"/>
      <c r="B23" s="239"/>
      <c r="C23" s="239"/>
      <c r="D23" s="239"/>
      <c r="E23" s="239"/>
    </row>
    <row r="24" spans="1:15" x14ac:dyDescent="0.4">
      <c r="A24" s="90" t="s">
        <v>227</v>
      </c>
      <c r="B24" s="239" t="s">
        <v>228</v>
      </c>
      <c r="C24" s="239"/>
      <c r="D24" s="239"/>
      <c r="E24" s="239"/>
      <c r="G24" s="90" t="s">
        <v>242</v>
      </c>
      <c r="H24" s="82">
        <f>ROUND(SUMPRODUCT(J17:J21,O17:O21),3)</f>
        <v>1.0489999999999999</v>
      </c>
    </row>
    <row r="25" spans="1:15" x14ac:dyDescent="0.4">
      <c r="A25" s="47"/>
      <c r="B25" s="239"/>
      <c r="C25" s="239"/>
      <c r="D25" s="239"/>
      <c r="E25" s="239"/>
      <c r="G25" s="47"/>
      <c r="H25" s="91"/>
    </row>
    <row r="26" spans="1:15" x14ac:dyDescent="0.4">
      <c r="A26" s="90" t="s">
        <v>230</v>
      </c>
      <c r="B26" s="239" t="s">
        <v>231</v>
      </c>
      <c r="C26" s="239"/>
      <c r="D26" s="239"/>
      <c r="E26" s="239"/>
      <c r="G26" s="90" t="s">
        <v>242</v>
      </c>
      <c r="H26" s="82">
        <f>'EXHIBIT C10'!F18</f>
        <v>1</v>
      </c>
    </row>
    <row r="27" spans="1:15" x14ac:dyDescent="0.4">
      <c r="A27" s="47"/>
      <c r="B27" s="239"/>
      <c r="C27" s="239"/>
      <c r="D27" s="239"/>
      <c r="E27" s="239"/>
      <c r="G27" s="47"/>
      <c r="H27" s="91"/>
    </row>
    <row r="28" spans="1:15" x14ac:dyDescent="0.4">
      <c r="A28" s="90" t="s">
        <v>232</v>
      </c>
      <c r="B28" s="239" t="s">
        <v>233</v>
      </c>
      <c r="C28" s="239"/>
      <c r="D28" s="239"/>
      <c r="E28" s="239"/>
      <c r="G28" s="90" t="s">
        <v>242</v>
      </c>
      <c r="H28" s="91">
        <f>'EXHIBIT B3'!H57</f>
        <v>0.999</v>
      </c>
    </row>
    <row r="29" spans="1:15" x14ac:dyDescent="0.4">
      <c r="A29" s="47"/>
      <c r="B29" s="239"/>
      <c r="C29" s="239"/>
      <c r="D29" s="239"/>
      <c r="E29" s="239"/>
      <c r="G29" s="47"/>
      <c r="H29" s="91"/>
    </row>
    <row r="30" spans="1:15" x14ac:dyDescent="0.4">
      <c r="A30" s="90" t="s">
        <v>234</v>
      </c>
      <c r="B30" s="239" t="s">
        <v>235</v>
      </c>
      <c r="C30" s="239"/>
      <c r="D30" s="239"/>
      <c r="E30" s="239"/>
      <c r="G30" s="90" t="s">
        <v>242</v>
      </c>
      <c r="H30" s="91">
        <f>ROUND(H24*H26+(1-H26)*H28,3)</f>
        <v>1.0489999999999999</v>
      </c>
    </row>
    <row r="31" spans="1:15" x14ac:dyDescent="0.4">
      <c r="A31" s="47"/>
      <c r="B31" s="239"/>
      <c r="C31" s="239"/>
      <c r="D31" s="239"/>
      <c r="E31" s="239"/>
      <c r="G31" s="47"/>
      <c r="H31" s="91"/>
    </row>
    <row r="32" spans="1:15" x14ac:dyDescent="0.4">
      <c r="A32" s="90" t="s">
        <v>236</v>
      </c>
      <c r="B32" s="239" t="s">
        <v>243</v>
      </c>
      <c r="C32" s="239"/>
      <c r="D32" s="239"/>
      <c r="E32" s="239"/>
      <c r="G32" s="90" t="s">
        <v>242</v>
      </c>
      <c r="H32" s="91">
        <f>H30</f>
        <v>1.0489999999999999</v>
      </c>
      <c r="I32" s="42" t="s">
        <v>237</v>
      </c>
      <c r="J32" s="58">
        <f>H30-1</f>
        <v>4.8999999999999932E-2</v>
      </c>
    </row>
    <row r="33" spans="1:8" x14ac:dyDescent="0.4">
      <c r="A33" s="47"/>
      <c r="B33" s="239"/>
      <c r="C33" s="239"/>
      <c r="D33" s="239"/>
      <c r="E33" s="239"/>
      <c r="G33" s="47"/>
    </row>
    <row r="34" spans="1:8" x14ac:dyDescent="0.4">
      <c r="A34" s="90" t="s">
        <v>238</v>
      </c>
      <c r="B34" s="239" t="s">
        <v>239</v>
      </c>
      <c r="C34" s="239"/>
      <c r="D34" s="239"/>
      <c r="E34" s="239"/>
      <c r="G34" s="90" t="s">
        <v>242</v>
      </c>
      <c r="H34" s="92">
        <f>PayrollSWLCChange</f>
        <v>-1.9000000000000017E-2</v>
      </c>
    </row>
    <row r="38" spans="1:8" x14ac:dyDescent="0.4">
      <c r="B38" s="239" t="str">
        <f>"NOTE: The assumed effective date for trending is "&amp;TEXT(DZ_INPUTS!$B$5,"m/d/yyyy")&amp;"."</f>
        <v>NOTE: The assumed effective date for trending is 3/1/2022.</v>
      </c>
      <c r="C38" s="239"/>
      <c r="D38" s="239"/>
      <c r="E38" s="239"/>
      <c r="F38" s="239"/>
      <c r="G38" s="239"/>
      <c r="H38" s="239"/>
    </row>
  </sheetData>
  <mergeCells count="41">
    <mergeCell ref="B34:E34"/>
    <mergeCell ref="B38:H38"/>
    <mergeCell ref="B28:E28"/>
    <mergeCell ref="B29:E29"/>
    <mergeCell ref="B30:E30"/>
    <mergeCell ref="B31:E31"/>
    <mergeCell ref="B32:E32"/>
    <mergeCell ref="B33:E33"/>
    <mergeCell ref="B27:E27"/>
    <mergeCell ref="A15:B15"/>
    <mergeCell ref="A16:B16"/>
    <mergeCell ref="A17:B17"/>
    <mergeCell ref="A18:B18"/>
    <mergeCell ref="A19:B19"/>
    <mergeCell ref="A20:B20"/>
    <mergeCell ref="A21:B21"/>
    <mergeCell ref="B23:E23"/>
    <mergeCell ref="B24:E24"/>
    <mergeCell ref="B25:E25"/>
    <mergeCell ref="B26:E26"/>
    <mergeCell ref="A13:B13"/>
    <mergeCell ref="C13:D13"/>
    <mergeCell ref="F13:G13"/>
    <mergeCell ref="I13:K13"/>
    <mergeCell ref="A14:B14"/>
    <mergeCell ref="C14:D14"/>
    <mergeCell ref="F14:G14"/>
    <mergeCell ref="A12:B12"/>
    <mergeCell ref="C12:D12"/>
    <mergeCell ref="F12:G12"/>
    <mergeCell ref="B1:J1"/>
    <mergeCell ref="B2:J2"/>
    <mergeCell ref="B3:J3"/>
    <mergeCell ref="B4:J4"/>
    <mergeCell ref="B5:J5"/>
    <mergeCell ref="B6:J6"/>
    <mergeCell ref="B7:J7"/>
    <mergeCell ref="C10:D10"/>
    <mergeCell ref="F10:G10"/>
    <mergeCell ref="C11:D11"/>
    <mergeCell ref="F11:G11"/>
  </mergeCells>
  <printOptions horizontalCentered="1"/>
  <pageMargins left="0.7" right="0.7" top="0.75" bottom="0.75" header="0.3" footer="0.3"/>
  <pageSetup firstPageNumber="0" orientation="portrait" useFirstPageNumber="1" r:id="rId1"/>
  <headerFooter>
    <oddHeader>&amp;L&amp;"Times New Roman"&amp;9INSURANCE SERVICES OFFICE, INC.</oddHeader>
    <oddFooter>&amp;C&amp;"Times New Roman"&amp;9© Insurance Services Office, Inc., 2022        		OREGON        BP-2021-RLA1&amp;R&amp;"Times New Roman"&amp;9&amp;A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598E8-0CF2-4274-8EA3-49D299A16417}">
  <sheetPr>
    <pageSetUpPr fitToPage="1"/>
  </sheetPr>
  <dimension ref="A1:Q33"/>
  <sheetViews>
    <sheetView zoomScaleNormal="100" workbookViewId="0"/>
  </sheetViews>
  <sheetFormatPr defaultColWidth="9.1328125" defaultRowHeight="10.15" x14ac:dyDescent="0.3"/>
  <cols>
    <col min="1" max="1" width="13.265625" style="93" customWidth="1"/>
    <col min="2" max="2" width="13.86328125" style="93" customWidth="1"/>
    <col min="3" max="3" width="2.3984375" style="93" customWidth="1"/>
    <col min="4" max="4" width="12.86328125" style="93" customWidth="1"/>
    <col min="5" max="5" width="1.73046875" style="93" customWidth="1"/>
    <col min="6" max="6" width="10.73046875" style="93" customWidth="1"/>
    <col min="7" max="7" width="2" style="93" customWidth="1"/>
    <col min="8" max="8" width="10.73046875" style="93" customWidth="1"/>
    <col min="9" max="9" width="2" style="93" customWidth="1"/>
    <col min="10" max="10" width="10.73046875" style="93" customWidth="1"/>
    <col min="11" max="11" width="2" style="93" customWidth="1"/>
    <col min="12" max="12" width="9.265625" style="93" customWidth="1"/>
    <col min="13" max="13" width="2.1328125" style="93" customWidth="1"/>
    <col min="14" max="14" width="7.86328125" style="93" customWidth="1"/>
    <col min="15" max="17" width="10.73046875" style="93" customWidth="1"/>
    <col min="18" max="16384" width="9.1328125" style="93"/>
  </cols>
  <sheetData>
    <row r="1" spans="1:17" ht="12.75" customHeight="1" x14ac:dyDescent="0.3">
      <c r="E1" s="94"/>
      <c r="F1" s="252" t="str">
        <f>UPPER(state)</f>
        <v>OREGON</v>
      </c>
      <c r="G1" s="252"/>
      <c r="H1" s="252"/>
      <c r="I1" s="252"/>
      <c r="J1" s="252"/>
      <c r="K1" s="252"/>
      <c r="L1" s="252"/>
      <c r="M1" s="94"/>
      <c r="N1" s="94"/>
    </row>
    <row r="2" spans="1:17" x14ac:dyDescent="0.3">
      <c r="F2" s="253"/>
      <c r="G2" s="253"/>
      <c r="H2" s="253"/>
      <c r="I2" s="253"/>
      <c r="J2" s="253"/>
      <c r="K2" s="253"/>
      <c r="L2" s="253"/>
    </row>
    <row r="3" spans="1:17" ht="12.75" customHeight="1" x14ac:dyDescent="0.3">
      <c r="E3" s="94"/>
      <c r="F3" s="252" t="s">
        <v>203</v>
      </c>
      <c r="G3" s="252"/>
      <c r="H3" s="252"/>
      <c r="I3" s="252"/>
      <c r="J3" s="252"/>
      <c r="K3" s="252"/>
      <c r="L3" s="252"/>
      <c r="M3" s="94"/>
      <c r="N3" s="94"/>
    </row>
    <row r="4" spans="1:17" x14ac:dyDescent="0.3">
      <c r="F4" s="253"/>
      <c r="G4" s="253"/>
      <c r="H4" s="253"/>
      <c r="I4" s="253"/>
      <c r="J4" s="253"/>
      <c r="K4" s="253"/>
      <c r="L4" s="253"/>
    </row>
    <row r="5" spans="1:17" ht="12.75" customHeight="1" x14ac:dyDescent="0.3">
      <c r="E5" s="94"/>
      <c r="F5" s="252" t="s">
        <v>249</v>
      </c>
      <c r="G5" s="252"/>
      <c r="H5" s="252"/>
      <c r="I5" s="252"/>
      <c r="J5" s="252"/>
      <c r="K5" s="252"/>
      <c r="L5" s="252"/>
      <c r="M5" s="94"/>
      <c r="N5" s="94"/>
    </row>
    <row r="6" spans="1:17" x14ac:dyDescent="0.3">
      <c r="F6" s="253"/>
      <c r="G6" s="253"/>
      <c r="H6" s="253"/>
      <c r="I6" s="253"/>
      <c r="J6" s="253"/>
      <c r="K6" s="253"/>
      <c r="L6" s="253"/>
    </row>
    <row r="7" spans="1:17" ht="12.75" customHeight="1" x14ac:dyDescent="0.3">
      <c r="E7" s="94"/>
      <c r="F7" s="252" t="s">
        <v>250</v>
      </c>
      <c r="G7" s="252"/>
      <c r="H7" s="252"/>
      <c r="I7" s="252"/>
      <c r="J7" s="252"/>
      <c r="K7" s="252"/>
      <c r="L7" s="252"/>
      <c r="M7" s="94"/>
      <c r="N7" s="94"/>
    </row>
    <row r="10" spans="1:17" x14ac:dyDescent="0.3">
      <c r="B10" s="95" t="s">
        <v>206</v>
      </c>
      <c r="D10" s="95" t="s">
        <v>207</v>
      </c>
      <c r="E10" s="94"/>
      <c r="F10" s="95" t="s">
        <v>208</v>
      </c>
      <c r="G10" s="94"/>
      <c r="H10" s="95" t="s">
        <v>227</v>
      </c>
      <c r="I10" s="94"/>
      <c r="J10" s="95" t="s">
        <v>230</v>
      </c>
      <c r="K10" s="95"/>
      <c r="L10" s="95" t="s">
        <v>232</v>
      </c>
      <c r="M10" s="95"/>
      <c r="N10" s="95" t="s">
        <v>234</v>
      </c>
      <c r="O10" s="95" t="s">
        <v>236</v>
      </c>
      <c r="P10" s="95" t="s">
        <v>238</v>
      </c>
      <c r="Q10" s="95" t="s">
        <v>251</v>
      </c>
    </row>
    <row r="11" spans="1:17" x14ac:dyDescent="0.3">
      <c r="B11" s="94" t="s">
        <v>252</v>
      </c>
      <c r="D11" s="94"/>
      <c r="E11" s="94"/>
      <c r="F11" s="94"/>
      <c r="G11" s="94"/>
      <c r="H11" s="94"/>
      <c r="I11" s="94"/>
      <c r="J11" s="94" t="s">
        <v>253</v>
      </c>
      <c r="K11" s="94"/>
      <c r="L11" s="94"/>
      <c r="M11" s="94"/>
      <c r="N11" s="94"/>
      <c r="O11" s="94"/>
      <c r="P11" s="94"/>
      <c r="Q11" s="94"/>
    </row>
    <row r="12" spans="1:17" x14ac:dyDescent="0.3">
      <c r="B12" s="94" t="s">
        <v>254</v>
      </c>
      <c r="D12" s="94"/>
      <c r="E12" s="94"/>
      <c r="F12" s="94" t="s">
        <v>252</v>
      </c>
      <c r="G12" s="94"/>
      <c r="H12" s="94"/>
      <c r="I12" s="94"/>
      <c r="J12" s="94" t="s">
        <v>255</v>
      </c>
      <c r="K12" s="94"/>
      <c r="L12" s="94"/>
      <c r="M12" s="94"/>
      <c r="N12" s="94"/>
      <c r="O12" s="94" t="s">
        <v>256</v>
      </c>
      <c r="P12" s="94"/>
      <c r="Q12" s="94" t="s">
        <v>257</v>
      </c>
    </row>
    <row r="13" spans="1:17" x14ac:dyDescent="0.3">
      <c r="B13" s="94" t="s">
        <v>258</v>
      </c>
      <c r="D13" s="94" t="s">
        <v>252</v>
      </c>
      <c r="E13" s="94"/>
      <c r="F13" s="94" t="s">
        <v>259</v>
      </c>
      <c r="G13" s="94"/>
      <c r="H13" s="94" t="s">
        <v>259</v>
      </c>
      <c r="I13" s="94"/>
      <c r="J13" s="94" t="s">
        <v>260</v>
      </c>
      <c r="K13" s="94"/>
      <c r="L13" s="94"/>
      <c r="M13" s="94"/>
      <c r="N13" s="94"/>
      <c r="O13" s="94" t="s">
        <v>261</v>
      </c>
      <c r="P13" s="94"/>
      <c r="Q13" s="94" t="s">
        <v>253</v>
      </c>
    </row>
    <row r="14" spans="1:17" x14ac:dyDescent="0.3">
      <c r="B14" s="94" t="s">
        <v>262</v>
      </c>
      <c r="D14" s="94" t="s">
        <v>263</v>
      </c>
      <c r="E14" s="94"/>
      <c r="F14" s="94" t="s">
        <v>264</v>
      </c>
      <c r="G14" s="94"/>
      <c r="H14" s="94" t="s">
        <v>265</v>
      </c>
      <c r="I14" s="94"/>
      <c r="J14" s="94" t="s">
        <v>266</v>
      </c>
      <c r="K14" s="94"/>
      <c r="L14" s="94" t="s">
        <v>267</v>
      </c>
      <c r="M14" s="94"/>
      <c r="N14" s="94" t="s">
        <v>256</v>
      </c>
      <c r="O14" s="94" t="s">
        <v>268</v>
      </c>
      <c r="P14" s="94" t="s">
        <v>253</v>
      </c>
      <c r="Q14" s="94" t="s">
        <v>269</v>
      </c>
    </row>
    <row r="15" spans="1:17" x14ac:dyDescent="0.3">
      <c r="A15" s="96" t="s">
        <v>270</v>
      </c>
      <c r="B15" s="96" t="s">
        <v>271</v>
      </c>
      <c r="D15" s="96" t="s">
        <v>272</v>
      </c>
      <c r="E15" s="94"/>
      <c r="F15" s="97" t="s">
        <v>273</v>
      </c>
      <c r="G15" s="94"/>
      <c r="H15" s="97" t="s">
        <v>274</v>
      </c>
      <c r="I15" s="94"/>
      <c r="J15" s="96" t="s">
        <v>275</v>
      </c>
      <c r="K15" s="94"/>
      <c r="L15" s="96" t="s">
        <v>276</v>
      </c>
      <c r="M15" s="94"/>
      <c r="N15" s="96" t="s">
        <v>261</v>
      </c>
      <c r="O15" s="96" t="s">
        <v>275</v>
      </c>
      <c r="P15" s="96" t="s">
        <v>275</v>
      </c>
      <c r="Q15" s="96" t="s">
        <v>275</v>
      </c>
    </row>
    <row r="17" spans="1:17" x14ac:dyDescent="0.3">
      <c r="A17" s="94">
        <v>701</v>
      </c>
      <c r="B17" s="98">
        <v>22029009.109999999</v>
      </c>
      <c r="C17" s="99"/>
      <c r="D17" s="98">
        <v>22845330.100000001</v>
      </c>
      <c r="F17" s="100">
        <f>ROUND(D17/B17,3)</f>
        <v>1.0369999999999999</v>
      </c>
      <c r="H17" s="100">
        <f>ROUND(F17/$F$20,3)</f>
        <v>0.86799999999999999</v>
      </c>
      <c r="J17" s="101">
        <v>0.86499999999999999</v>
      </c>
      <c r="K17" s="99"/>
      <c r="L17" s="102">
        <v>32659.75</v>
      </c>
      <c r="N17" s="100">
        <f>IF(ROUND(SQRT(L17/'EXHIBIT C10'!$C$16),3)&gt;1,1,ROUND(SQRT(L17/'EXHIBIT C10'!$C$16),3))</f>
        <v>0.26800000000000002</v>
      </c>
      <c r="O17" s="100">
        <f>ROUND(J17^N17,3)</f>
        <v>0.96199999999999997</v>
      </c>
      <c r="P17" s="101">
        <v>0.95299999999999996</v>
      </c>
      <c r="Q17" s="101">
        <v>0.95299999999999996</v>
      </c>
    </row>
    <row r="18" spans="1:17" x14ac:dyDescent="0.3">
      <c r="A18" s="94">
        <v>702</v>
      </c>
      <c r="B18" s="98">
        <v>65570890</v>
      </c>
      <c r="C18" s="99"/>
      <c r="D18" s="98">
        <v>81856836.599999994</v>
      </c>
      <c r="F18" s="100">
        <f t="shared" ref="F18" si="0">ROUND(D18/B18,3)</f>
        <v>1.248</v>
      </c>
      <c r="H18" s="100">
        <f>ROUND(F18/$F$20,3)</f>
        <v>1.044</v>
      </c>
      <c r="J18" s="101">
        <v>1.0449999999999999</v>
      </c>
      <c r="K18" s="99"/>
      <c r="L18" s="102">
        <v>139628.7917</v>
      </c>
      <c r="N18" s="100">
        <f>IF(ROUND(SQRT(L18/'EXHIBIT C10'!$C$16),3)&gt;1,1,ROUND(SQRT(L18/'EXHIBIT C10'!$C$16),3))</f>
        <v>0.55300000000000005</v>
      </c>
      <c r="O18" s="100">
        <f t="shared" ref="O18" si="1">ROUND(J18^N18,3)</f>
        <v>1.0249999999999999</v>
      </c>
      <c r="P18" s="101">
        <v>1.016</v>
      </c>
      <c r="Q18" s="101">
        <v>1.016</v>
      </c>
    </row>
    <row r="19" spans="1:17" x14ac:dyDescent="0.3">
      <c r="A19" s="94"/>
      <c r="B19" s="103"/>
      <c r="D19" s="103"/>
      <c r="F19" s="100"/>
      <c r="H19" s="100"/>
      <c r="J19" s="104"/>
      <c r="L19" s="105"/>
      <c r="N19" s="100"/>
      <c r="O19" s="100"/>
      <c r="P19" s="104"/>
      <c r="Q19" s="104"/>
    </row>
    <row r="20" spans="1:17" x14ac:dyDescent="0.3">
      <c r="A20" s="94" t="s">
        <v>277</v>
      </c>
      <c r="B20" s="106">
        <f>SUM(B17:B18)</f>
        <v>87599899.109999999</v>
      </c>
      <c r="D20" s="106">
        <f>SUM(D17:D18)</f>
        <v>104702166.69999999</v>
      </c>
      <c r="F20" s="100">
        <f t="shared" ref="F20" si="2">ROUND(D20/B20,3)</f>
        <v>1.1950000000000001</v>
      </c>
      <c r="H20" s="100">
        <f>ROUND(F20/$F$20,3)</f>
        <v>1</v>
      </c>
      <c r="L20" s="106">
        <f>SUM(L17:L18)</f>
        <v>172288.5417</v>
      </c>
      <c r="O20" s="100"/>
      <c r="P20" s="101">
        <v>1</v>
      </c>
      <c r="Q20" s="101">
        <v>1</v>
      </c>
    </row>
    <row r="21" spans="1:17" x14ac:dyDescent="0.3">
      <c r="P21" s="107"/>
      <c r="Q21" s="107"/>
    </row>
    <row r="22" spans="1:17" x14ac:dyDescent="0.3">
      <c r="P22" s="107"/>
      <c r="Q22" s="107"/>
    </row>
    <row r="23" spans="1:17" x14ac:dyDescent="0.3">
      <c r="A23" s="94" t="s">
        <v>138</v>
      </c>
      <c r="B23" s="108">
        <v>60003299.07</v>
      </c>
      <c r="C23" s="99"/>
      <c r="D23" s="108">
        <v>68788520.079999998</v>
      </c>
      <c r="F23" s="100">
        <f t="shared" ref="F23:F25" si="3">ROUND(D23/B23,3)</f>
        <v>1.1459999999999999</v>
      </c>
      <c r="H23" s="100">
        <f>ROUND(F23/$F$25,3)</f>
        <v>0.95899999999999996</v>
      </c>
      <c r="J23" s="101">
        <v>0.95799999999999996</v>
      </c>
      <c r="K23" s="109"/>
      <c r="L23" s="110">
        <v>76979.666670000006</v>
      </c>
      <c r="M23" s="94"/>
      <c r="N23" s="100">
        <f>IF(ROUND(SQRT(L23/'EXHIBIT C10'!$C$16),3)&gt;1,1,ROUND(SQRT(L23/'EXHIBIT C10'!$C$16),3))</f>
        <v>0.41099999999999998</v>
      </c>
      <c r="O23" s="100">
        <f>ROUND(J23^N23,3)</f>
        <v>0.98299999999999998</v>
      </c>
      <c r="P23" s="101">
        <v>0.98199999999999998</v>
      </c>
      <c r="Q23" s="101">
        <v>0.98199999999999998</v>
      </c>
    </row>
    <row r="24" spans="1:17" x14ac:dyDescent="0.3">
      <c r="A24" s="94" t="s">
        <v>278</v>
      </c>
      <c r="B24" s="111">
        <v>27596600.039999999</v>
      </c>
      <c r="C24" s="99"/>
      <c r="D24" s="111">
        <v>35913646.609999999</v>
      </c>
      <c r="F24" s="100">
        <f t="shared" si="3"/>
        <v>1.3009999999999999</v>
      </c>
      <c r="H24" s="100">
        <f t="shared" ref="H24:H25" si="4">ROUND(F24/$F$25,3)</f>
        <v>1.089</v>
      </c>
      <c r="J24" s="101">
        <v>1.091</v>
      </c>
      <c r="K24" s="99"/>
      <c r="L24" s="110">
        <v>95308.875</v>
      </c>
      <c r="N24" s="100">
        <f>IF(ROUND(SQRT(L24/'EXHIBIT C10'!$C$16),3)&gt;1,1,ROUND(SQRT(L24/'EXHIBIT C10'!$C$16),3))</f>
        <v>0.45700000000000002</v>
      </c>
      <c r="O24" s="100">
        <f>ROUND(J24^N24,3)</f>
        <v>1.0409999999999999</v>
      </c>
      <c r="P24" s="101">
        <v>1.04</v>
      </c>
      <c r="Q24" s="101">
        <v>1.04</v>
      </c>
    </row>
    <row r="25" spans="1:17" x14ac:dyDescent="0.3">
      <c r="A25" s="94" t="s">
        <v>277</v>
      </c>
      <c r="B25" s="112">
        <f>SUM(B23:B24)</f>
        <v>87599899.109999999</v>
      </c>
      <c r="C25" s="99"/>
      <c r="D25" s="112">
        <f>SUM(D23:D24)</f>
        <v>104702166.69</v>
      </c>
      <c r="F25" s="100">
        <f t="shared" si="3"/>
        <v>1.1950000000000001</v>
      </c>
      <c r="H25" s="100">
        <f t="shared" si="4"/>
        <v>1</v>
      </c>
      <c r="L25" s="106">
        <f>SUM(L23:L24)</f>
        <v>172288.54167000001</v>
      </c>
      <c r="P25" s="101">
        <v>1</v>
      </c>
      <c r="Q25" s="101">
        <v>1</v>
      </c>
    </row>
    <row r="27" spans="1:17" x14ac:dyDescent="0.3">
      <c r="B27" s="113"/>
    </row>
    <row r="28" spans="1:17" x14ac:dyDescent="0.3">
      <c r="B28" s="113"/>
    </row>
    <row r="29" spans="1:17" x14ac:dyDescent="0.3">
      <c r="B29" s="113" t="s">
        <v>174</v>
      </c>
    </row>
    <row r="31" spans="1:17" x14ac:dyDescent="0.3">
      <c r="N31" s="113"/>
    </row>
    <row r="33" spans="14:14" x14ac:dyDescent="0.3">
      <c r="N33" s="113"/>
    </row>
  </sheetData>
  <mergeCells count="7">
    <mergeCell ref="F7:L7"/>
    <mergeCell ref="F1:L1"/>
    <mergeCell ref="F2:L2"/>
    <mergeCell ref="F3:L3"/>
    <mergeCell ref="F4:L4"/>
    <mergeCell ref="F5:L5"/>
    <mergeCell ref="F6:L6"/>
  </mergeCells>
  <printOptions horizontalCentered="1"/>
  <pageMargins left="0.5" right="0.7" top="0.75" bottom="0.75" header="0.3" footer="0.3"/>
  <pageSetup scale="93" firstPageNumber="0" orientation="landscape" useFirstPageNumber="1" r:id="rId1"/>
  <headerFooter>
    <oddHeader>&amp;L&amp;"Times New Roman"&amp;9INSURANCE SERVICES OFFICE, INC.</oddHeader>
    <oddFooter>&amp;C&amp;"Times New Roman"&amp;9© Insurance Services Office, Inc., 2022        		OREGON        BP-2021-RLA1&amp;R&amp;"Times New Roman"&amp;9&amp;A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72D2C-16E1-4671-B8CA-62E9D0713492}">
  <sheetPr>
    <pageSetUpPr fitToPage="1"/>
  </sheetPr>
  <dimension ref="A1:Q35"/>
  <sheetViews>
    <sheetView zoomScaleNormal="100" workbookViewId="0"/>
  </sheetViews>
  <sheetFormatPr defaultColWidth="9.1328125" defaultRowHeight="10.15" x14ac:dyDescent="0.3"/>
  <cols>
    <col min="1" max="2" width="13.86328125" style="93" customWidth="1"/>
    <col min="3" max="3" width="2.3984375" style="93" customWidth="1"/>
    <col min="4" max="4" width="12.86328125" style="93" customWidth="1"/>
    <col min="5" max="5" width="1.73046875" style="93" customWidth="1"/>
    <col min="6" max="6" width="10.73046875" style="93" customWidth="1"/>
    <col min="7" max="7" width="2" style="93" customWidth="1"/>
    <col min="8" max="8" width="10.73046875" style="93" customWidth="1"/>
    <col min="9" max="9" width="2" style="93" customWidth="1"/>
    <col min="10" max="10" width="10.73046875" style="93" customWidth="1"/>
    <col min="11" max="11" width="2" style="93" customWidth="1"/>
    <col min="12" max="12" width="9.265625" style="93" customWidth="1"/>
    <col min="13" max="13" width="2.1328125" style="93" customWidth="1"/>
    <col min="14" max="14" width="7.86328125" style="93" customWidth="1"/>
    <col min="15" max="17" width="10.73046875" style="93" customWidth="1"/>
    <col min="18" max="16384" width="9.1328125" style="93"/>
  </cols>
  <sheetData>
    <row r="1" spans="1:17" ht="12.75" customHeight="1" x14ac:dyDescent="0.3">
      <c r="B1" s="94"/>
      <c r="C1" s="94"/>
      <c r="D1" s="94"/>
      <c r="E1" s="94"/>
      <c r="F1" s="252" t="str">
        <f>UPPER(state)</f>
        <v>OREGON</v>
      </c>
      <c r="G1" s="252"/>
      <c r="H1" s="252"/>
      <c r="I1" s="252"/>
      <c r="J1" s="252"/>
      <c r="K1" s="252"/>
      <c r="L1" s="252"/>
      <c r="M1" s="94"/>
      <c r="N1" s="94"/>
      <c r="O1" s="94"/>
      <c r="P1" s="94"/>
      <c r="Q1" s="94"/>
    </row>
    <row r="2" spans="1:17" x14ac:dyDescent="0.3">
      <c r="F2" s="253"/>
      <c r="G2" s="253"/>
      <c r="H2" s="253"/>
      <c r="I2" s="253"/>
      <c r="J2" s="253"/>
      <c r="K2" s="253"/>
      <c r="L2" s="253"/>
    </row>
    <row r="3" spans="1:17" ht="12.75" customHeight="1" x14ac:dyDescent="0.3">
      <c r="B3" s="94"/>
      <c r="C3" s="94"/>
      <c r="D3" s="94"/>
      <c r="E3" s="94"/>
      <c r="F3" s="252" t="s">
        <v>279</v>
      </c>
      <c r="G3" s="252"/>
      <c r="H3" s="252"/>
      <c r="I3" s="252"/>
      <c r="J3" s="252"/>
      <c r="K3" s="252"/>
      <c r="L3" s="252"/>
      <c r="M3" s="94"/>
      <c r="N3" s="94"/>
      <c r="O3" s="94"/>
      <c r="P3" s="94"/>
      <c r="Q3" s="94"/>
    </row>
    <row r="4" spans="1:17" x14ac:dyDescent="0.3">
      <c r="F4" s="253"/>
      <c r="G4" s="253"/>
      <c r="H4" s="253"/>
      <c r="I4" s="253"/>
      <c r="J4" s="253"/>
      <c r="K4" s="253"/>
      <c r="L4" s="253"/>
    </row>
    <row r="5" spans="1:17" ht="12.75" customHeight="1" x14ac:dyDescent="0.3">
      <c r="B5" s="94"/>
      <c r="C5" s="94"/>
      <c r="D5" s="94"/>
      <c r="E5" s="94"/>
      <c r="F5" s="252" t="s">
        <v>280</v>
      </c>
      <c r="G5" s="252"/>
      <c r="H5" s="252"/>
      <c r="I5" s="252"/>
      <c r="J5" s="252"/>
      <c r="K5" s="252"/>
      <c r="L5" s="252"/>
      <c r="M5" s="94"/>
      <c r="N5" s="94"/>
      <c r="O5" s="94"/>
      <c r="P5" s="94"/>
      <c r="Q5" s="94"/>
    </row>
    <row r="6" spans="1:17" x14ac:dyDescent="0.3">
      <c r="F6" s="253"/>
      <c r="G6" s="253"/>
      <c r="H6" s="253"/>
      <c r="I6" s="253"/>
      <c r="J6" s="253"/>
      <c r="K6" s="253"/>
      <c r="L6" s="253"/>
    </row>
    <row r="7" spans="1:17" ht="12.75" customHeight="1" x14ac:dyDescent="0.3">
      <c r="B7" s="94"/>
      <c r="C7" s="94"/>
      <c r="D7" s="94"/>
      <c r="E7" s="94"/>
      <c r="F7" s="252" t="s">
        <v>250</v>
      </c>
      <c r="G7" s="252"/>
      <c r="H7" s="252"/>
      <c r="I7" s="252"/>
      <c r="J7" s="252"/>
      <c r="K7" s="252"/>
      <c r="L7" s="252"/>
      <c r="M7" s="94"/>
      <c r="N7" s="94"/>
      <c r="O7" s="94"/>
      <c r="P7" s="94"/>
      <c r="Q7" s="94"/>
    </row>
    <row r="10" spans="1:17" x14ac:dyDescent="0.3">
      <c r="B10" s="95" t="s">
        <v>206</v>
      </c>
      <c r="D10" s="95" t="s">
        <v>207</v>
      </c>
      <c r="E10" s="94"/>
      <c r="F10" s="95" t="s">
        <v>208</v>
      </c>
      <c r="G10" s="94"/>
      <c r="H10" s="95" t="s">
        <v>227</v>
      </c>
      <c r="I10" s="94"/>
      <c r="J10" s="95" t="s">
        <v>230</v>
      </c>
      <c r="K10" s="95"/>
      <c r="L10" s="95" t="s">
        <v>232</v>
      </c>
      <c r="M10" s="95"/>
      <c r="N10" s="95" t="s">
        <v>234</v>
      </c>
      <c r="O10" s="95" t="s">
        <v>236</v>
      </c>
      <c r="P10" s="95" t="s">
        <v>238</v>
      </c>
      <c r="Q10" s="95" t="s">
        <v>251</v>
      </c>
    </row>
    <row r="11" spans="1:17" x14ac:dyDescent="0.3">
      <c r="B11" s="94" t="s">
        <v>252</v>
      </c>
      <c r="D11" s="94"/>
      <c r="E11" s="94"/>
      <c r="F11" s="94"/>
      <c r="G11" s="94"/>
      <c r="H11" s="94"/>
      <c r="I11" s="94"/>
      <c r="J11" s="94" t="s">
        <v>253</v>
      </c>
      <c r="K11" s="94"/>
      <c r="L11" s="94"/>
      <c r="M11" s="94"/>
      <c r="N11" s="94"/>
      <c r="O11" s="94"/>
      <c r="P11" s="94"/>
      <c r="Q11" s="94"/>
    </row>
    <row r="12" spans="1:17" x14ac:dyDescent="0.3">
      <c r="B12" s="94" t="s">
        <v>254</v>
      </c>
      <c r="D12" s="94"/>
      <c r="E12" s="94"/>
      <c r="F12" s="94" t="s">
        <v>252</v>
      </c>
      <c r="G12" s="94"/>
      <c r="H12" s="94"/>
      <c r="I12" s="94"/>
      <c r="J12" s="94" t="s">
        <v>255</v>
      </c>
      <c r="K12" s="94"/>
      <c r="L12" s="94"/>
      <c r="M12" s="94"/>
      <c r="N12" s="94"/>
      <c r="O12" s="94" t="s">
        <v>256</v>
      </c>
      <c r="P12" s="94"/>
      <c r="Q12" s="94" t="s">
        <v>257</v>
      </c>
    </row>
    <row r="13" spans="1:17" x14ac:dyDescent="0.3">
      <c r="B13" s="94" t="s">
        <v>258</v>
      </c>
      <c r="D13" s="94" t="s">
        <v>252</v>
      </c>
      <c r="E13" s="94"/>
      <c r="F13" s="94" t="s">
        <v>259</v>
      </c>
      <c r="G13" s="94"/>
      <c r="H13" s="94" t="s">
        <v>259</v>
      </c>
      <c r="I13" s="94"/>
      <c r="J13" s="94" t="s">
        <v>260</v>
      </c>
      <c r="K13" s="94"/>
      <c r="L13" s="94"/>
      <c r="M13" s="94"/>
      <c r="N13" s="94"/>
      <c r="O13" s="94" t="s">
        <v>261</v>
      </c>
      <c r="P13" s="94"/>
      <c r="Q13" s="94" t="s">
        <v>253</v>
      </c>
    </row>
    <row r="14" spans="1:17" x14ac:dyDescent="0.3">
      <c r="B14" s="94" t="s">
        <v>262</v>
      </c>
      <c r="D14" s="94" t="s">
        <v>263</v>
      </c>
      <c r="E14" s="94"/>
      <c r="F14" s="94" t="s">
        <v>264</v>
      </c>
      <c r="G14" s="94"/>
      <c r="H14" s="94" t="s">
        <v>265</v>
      </c>
      <c r="I14" s="94"/>
      <c r="J14" s="94" t="s">
        <v>266</v>
      </c>
      <c r="K14" s="94"/>
      <c r="L14" s="94" t="s">
        <v>267</v>
      </c>
      <c r="M14" s="94"/>
      <c r="N14" s="94" t="s">
        <v>256</v>
      </c>
      <c r="O14" s="94" t="s">
        <v>268</v>
      </c>
      <c r="P14" s="94" t="s">
        <v>253</v>
      </c>
      <c r="Q14" s="94" t="s">
        <v>269</v>
      </c>
    </row>
    <row r="15" spans="1:17" x14ac:dyDescent="0.3">
      <c r="A15" s="96" t="s">
        <v>270</v>
      </c>
      <c r="B15" s="96" t="s">
        <v>271</v>
      </c>
      <c r="D15" s="96" t="s">
        <v>272</v>
      </c>
      <c r="E15" s="94"/>
      <c r="F15" s="97" t="s">
        <v>273</v>
      </c>
      <c r="G15" s="94"/>
      <c r="H15" s="97" t="s">
        <v>274</v>
      </c>
      <c r="I15" s="94"/>
      <c r="J15" s="96" t="s">
        <v>275</v>
      </c>
      <c r="K15" s="94"/>
      <c r="L15" s="96" t="s">
        <v>276</v>
      </c>
      <c r="M15" s="94"/>
      <c r="N15" s="96" t="s">
        <v>261</v>
      </c>
      <c r="O15" s="96" t="s">
        <v>275</v>
      </c>
      <c r="P15" s="96" t="s">
        <v>275</v>
      </c>
      <c r="Q15" s="96" t="s">
        <v>275</v>
      </c>
    </row>
    <row r="17" spans="1:17" x14ac:dyDescent="0.3">
      <c r="A17" s="94">
        <v>701</v>
      </c>
      <c r="B17" s="108">
        <v>4992303.7350000003</v>
      </c>
      <c r="C17" s="99"/>
      <c r="D17" s="108">
        <v>4471466.8540000003</v>
      </c>
      <c r="F17" s="100">
        <f>ROUND(D17/B17,3)</f>
        <v>0.89600000000000002</v>
      </c>
      <c r="H17" s="100">
        <f>ROUND(F17/$F$20,3)</f>
        <v>1.016</v>
      </c>
      <c r="J17" s="101">
        <v>0.99099999999999999</v>
      </c>
      <c r="K17" s="99"/>
      <c r="L17" s="102">
        <v>19182.125</v>
      </c>
      <c r="N17" s="100">
        <f>IF(ROUND(SQRT(L17/'EXHIBIT C10'!$D$16),3)&gt;1,1,ROUND(SQRT(L17/'EXHIBIT C10'!$D$16),3))</f>
        <v>0.17199999999999999</v>
      </c>
      <c r="O17" s="100">
        <f>ROUND(J17^N17,3)</f>
        <v>0.998</v>
      </c>
      <c r="P17" s="101">
        <v>0.998</v>
      </c>
      <c r="Q17" s="101">
        <v>0.998</v>
      </c>
    </row>
    <row r="18" spans="1:17" x14ac:dyDescent="0.3">
      <c r="A18" s="94">
        <v>702</v>
      </c>
      <c r="B18" s="108">
        <v>13997685.77</v>
      </c>
      <c r="C18" s="99"/>
      <c r="D18" s="108">
        <v>12278018.890000001</v>
      </c>
      <c r="F18" s="100">
        <f t="shared" ref="F18" si="0">ROUND(D18/B18,3)</f>
        <v>0.877</v>
      </c>
      <c r="H18" s="100">
        <f>ROUND(F18/$F$20,3)</f>
        <v>0.99399999999999999</v>
      </c>
      <c r="J18" s="101">
        <v>1.0029999999999999</v>
      </c>
      <c r="K18" s="99"/>
      <c r="L18" s="102">
        <v>77674.625</v>
      </c>
      <c r="N18" s="100">
        <f>IF(ROUND(SQRT(L18/'EXHIBIT C10'!$D$16),3)&gt;1,1,ROUND(SQRT(L18/'EXHIBIT C10'!$D$16),3))</f>
        <v>0.34499999999999997</v>
      </c>
      <c r="O18" s="100">
        <f t="shared" ref="O18" si="1">ROUND(J18^N18,3)</f>
        <v>1.0009999999999999</v>
      </c>
      <c r="P18" s="101">
        <v>1.0009999999999999</v>
      </c>
      <c r="Q18" s="101">
        <v>1.0009999999999999</v>
      </c>
    </row>
    <row r="19" spans="1:17" x14ac:dyDescent="0.3">
      <c r="A19" s="94"/>
      <c r="B19" s="114"/>
      <c r="D19" s="114"/>
      <c r="F19" s="100"/>
      <c r="H19" s="100"/>
      <c r="J19" s="104"/>
      <c r="L19" s="115"/>
      <c r="N19" s="100"/>
      <c r="O19" s="100"/>
      <c r="P19" s="104"/>
      <c r="Q19" s="104"/>
    </row>
    <row r="20" spans="1:17" x14ac:dyDescent="0.3">
      <c r="A20" s="94" t="s">
        <v>277</v>
      </c>
      <c r="B20" s="106">
        <f>SUM(B17:B18)</f>
        <v>18989989.504999999</v>
      </c>
      <c r="D20" s="106">
        <f>SUM(D17:D18)</f>
        <v>16749485.744000001</v>
      </c>
      <c r="F20" s="100">
        <f t="shared" ref="F20" si="2">ROUND(D20/B20,3)</f>
        <v>0.88200000000000001</v>
      </c>
      <c r="H20" s="100">
        <f>ROUND(F20/$F$20,3)</f>
        <v>1</v>
      </c>
      <c r="L20" s="106">
        <f>SUM(L17:L18)</f>
        <v>96856.75</v>
      </c>
      <c r="O20" s="100"/>
      <c r="P20" s="101">
        <v>1</v>
      </c>
      <c r="Q20" s="101">
        <v>1</v>
      </c>
    </row>
    <row r="21" spans="1:17" x14ac:dyDescent="0.3">
      <c r="P21" s="107"/>
      <c r="Q21" s="107"/>
    </row>
    <row r="22" spans="1:17" x14ac:dyDescent="0.3">
      <c r="P22" s="107"/>
      <c r="Q22" s="107"/>
    </row>
    <row r="23" spans="1:17" x14ac:dyDescent="0.3">
      <c r="A23" s="94" t="s">
        <v>180</v>
      </c>
      <c r="B23" s="108">
        <v>9274345.6559999995</v>
      </c>
      <c r="C23" s="99"/>
      <c r="D23" s="108">
        <v>9757151.7479999997</v>
      </c>
      <c r="F23" s="100">
        <f t="shared" ref="F23:F25" si="3">ROUND(D23/B23,3)</f>
        <v>1.052</v>
      </c>
      <c r="H23" s="100">
        <f>ROUND(F23/$F$25,3)</f>
        <v>1.1930000000000001</v>
      </c>
      <c r="J23" s="109">
        <v>1.1930000000000001</v>
      </c>
      <c r="K23" s="109"/>
      <c r="L23" s="110">
        <v>49328.708330000001</v>
      </c>
      <c r="M23" s="94"/>
      <c r="N23" s="100">
        <f>IF(ROUND(SQRT(L23/'EXHIBIT C10'!$D$16),3)&gt;1,1,ROUND(SQRT(L23/'EXHIBIT C10'!$D$16),3))</f>
        <v>0.27500000000000002</v>
      </c>
      <c r="O23" s="100">
        <f>ROUND(J23^N23,3)</f>
        <v>1.05</v>
      </c>
      <c r="P23" s="101">
        <v>1.0529999999999999</v>
      </c>
      <c r="Q23" s="101">
        <v>1.0529999999999999</v>
      </c>
    </row>
    <row r="24" spans="1:17" x14ac:dyDescent="0.3">
      <c r="A24" s="94" t="s">
        <v>181</v>
      </c>
      <c r="B24" s="111">
        <v>9715643.8479999993</v>
      </c>
      <c r="C24" s="99"/>
      <c r="D24" s="111">
        <v>6992333.9979999997</v>
      </c>
      <c r="F24" s="100">
        <f t="shared" si="3"/>
        <v>0.72</v>
      </c>
      <c r="H24" s="100">
        <f t="shared" ref="H24:H25" si="4">ROUND(F24/$F$25,3)</f>
        <v>0.81599999999999995</v>
      </c>
      <c r="J24" s="109">
        <v>0.81599999999999995</v>
      </c>
      <c r="K24" s="99"/>
      <c r="L24" s="110">
        <v>47528.041669999999</v>
      </c>
      <c r="N24" s="100">
        <f>IF(ROUND(SQRT(L24/'EXHIBIT C10'!$D$16),3)&gt;1,1,ROUND(SQRT(L24/'EXHIBIT C10'!$D$16),3))</f>
        <v>0.27</v>
      </c>
      <c r="O24" s="100">
        <f>ROUND(J24^N24,3)</f>
        <v>0.94699999999999995</v>
      </c>
      <c r="P24" s="101">
        <v>0.95</v>
      </c>
      <c r="Q24" s="101">
        <v>0.95</v>
      </c>
    </row>
    <row r="25" spans="1:17" x14ac:dyDescent="0.3">
      <c r="A25" s="94" t="s">
        <v>277</v>
      </c>
      <c r="B25" s="106">
        <f>SUM(B23:B24)</f>
        <v>18989989.504000001</v>
      </c>
      <c r="D25" s="106">
        <f>SUM(D23:D24)</f>
        <v>16749485.745999999</v>
      </c>
      <c r="F25" s="100">
        <f t="shared" si="3"/>
        <v>0.88200000000000001</v>
      </c>
      <c r="H25" s="100">
        <f t="shared" si="4"/>
        <v>1</v>
      </c>
      <c r="L25" s="106">
        <f>SUM(L23:L24)</f>
        <v>96856.75</v>
      </c>
      <c r="P25" s="101">
        <v>1</v>
      </c>
      <c r="Q25" s="101">
        <v>1</v>
      </c>
    </row>
    <row r="31" spans="1:17" x14ac:dyDescent="0.3">
      <c r="N31" s="113"/>
    </row>
    <row r="33" spans="14:14" x14ac:dyDescent="0.3">
      <c r="N33" s="113"/>
    </row>
    <row r="35" spans="14:14" x14ac:dyDescent="0.3">
      <c r="N35" s="113"/>
    </row>
  </sheetData>
  <mergeCells count="7">
    <mergeCell ref="F7:L7"/>
    <mergeCell ref="F1:L1"/>
    <mergeCell ref="F2:L2"/>
    <mergeCell ref="F3:L3"/>
    <mergeCell ref="F4:L4"/>
    <mergeCell ref="F5:L5"/>
    <mergeCell ref="F6:L6"/>
  </mergeCells>
  <printOptions horizontalCentered="1"/>
  <pageMargins left="0.7" right="0.7" top="0.75" bottom="0.75" header="0.3" footer="0.3"/>
  <pageSetup scale="91" firstPageNumber="0" orientation="landscape" useFirstPageNumber="1" r:id="rId1"/>
  <headerFooter>
    <oddHeader>&amp;L&amp;"Times New Roman"&amp;9INSURANCE SERVICES OFFICE, INC.</oddHeader>
    <oddFooter>&amp;C&amp;"Times New Roman"&amp;9© Insurance Services Office, Inc., 2022        		OREGON        BP-2021-RLA1&amp;R&amp;"Times New Roman"&amp;9&amp;A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FFAC8-2E03-4788-AC5F-9E0A162088C1}">
  <sheetPr>
    <pageSetUpPr fitToPage="1"/>
  </sheetPr>
  <dimension ref="A1:R60"/>
  <sheetViews>
    <sheetView zoomScaleNormal="100" workbookViewId="0">
      <selection sqref="A1:I1"/>
    </sheetView>
  </sheetViews>
  <sheetFormatPr defaultColWidth="9.1328125" defaultRowHeight="13.15" x14ac:dyDescent="0.4"/>
  <cols>
    <col min="1" max="1" width="5.3984375" style="2" customWidth="1"/>
    <col min="2" max="2" width="14.73046875" style="2" customWidth="1"/>
    <col min="3" max="3" width="16.3984375" style="2" customWidth="1"/>
    <col min="4" max="4" width="11" style="2" bestFit="1" customWidth="1"/>
    <col min="5" max="5" width="5.73046875" style="2" customWidth="1"/>
    <col min="6" max="6" width="17.86328125" style="2" customWidth="1"/>
    <col min="7" max="7" width="14.265625" style="2" customWidth="1"/>
    <col min="8" max="8" width="7.86328125" style="2" customWidth="1"/>
    <col min="9" max="11" width="9.1328125" style="2"/>
    <col min="12" max="12" width="22.1328125" style="2" bestFit="1" customWidth="1"/>
    <col min="13" max="13" width="10.1328125" style="2" customWidth="1"/>
    <col min="14" max="14" width="13.1328125" style="2" bestFit="1" customWidth="1"/>
    <col min="15" max="15" width="14.1328125" style="2" customWidth="1"/>
    <col min="16" max="16" width="13.265625" style="2" bestFit="1" customWidth="1"/>
    <col min="17" max="16384" width="9.1328125" style="2"/>
  </cols>
  <sheetData>
    <row r="1" spans="1:18" x14ac:dyDescent="0.4">
      <c r="A1" s="241" t="str">
        <f>UPPER(state)</f>
        <v>OREGON</v>
      </c>
      <c r="B1" s="241"/>
      <c r="C1" s="241"/>
      <c r="D1" s="241"/>
      <c r="E1" s="241"/>
      <c r="F1" s="241"/>
      <c r="G1" s="241"/>
      <c r="H1" s="241"/>
      <c r="I1" s="241"/>
      <c r="J1" s="42"/>
      <c r="K1" s="42"/>
      <c r="L1" s="42"/>
      <c r="O1" s="47"/>
      <c r="P1" s="47"/>
      <c r="Q1" s="47"/>
      <c r="R1" s="47"/>
    </row>
    <row r="2" spans="1:18" x14ac:dyDescent="0.4">
      <c r="A2" s="239"/>
      <c r="B2" s="239"/>
      <c r="C2" s="239"/>
      <c r="D2" s="239"/>
      <c r="E2" s="239"/>
      <c r="F2" s="239"/>
      <c r="G2" s="239"/>
      <c r="H2" s="239"/>
      <c r="I2" s="239"/>
      <c r="O2" s="47"/>
    </row>
    <row r="3" spans="1:18" x14ac:dyDescent="0.4">
      <c r="A3" s="241" t="s">
        <v>153</v>
      </c>
      <c r="B3" s="241"/>
      <c r="C3" s="241"/>
      <c r="D3" s="241"/>
      <c r="E3" s="241"/>
      <c r="F3" s="241"/>
      <c r="G3" s="241"/>
      <c r="H3" s="241"/>
      <c r="I3" s="241"/>
      <c r="J3" s="42"/>
      <c r="K3" s="42"/>
      <c r="L3" s="42"/>
    </row>
    <row r="4" spans="1:18" x14ac:dyDescent="0.4">
      <c r="A4" s="239"/>
      <c r="B4" s="239"/>
      <c r="C4" s="239"/>
      <c r="D4" s="239"/>
      <c r="E4" s="239"/>
      <c r="F4" s="239"/>
      <c r="G4" s="239"/>
      <c r="H4" s="239"/>
      <c r="I4" s="239"/>
    </row>
    <row r="5" spans="1:18" x14ac:dyDescent="0.4">
      <c r="A5" s="241" t="s">
        <v>281</v>
      </c>
      <c r="B5" s="241"/>
      <c r="C5" s="241"/>
      <c r="D5" s="241"/>
      <c r="E5" s="241"/>
      <c r="F5" s="241"/>
      <c r="G5" s="241"/>
      <c r="H5" s="241"/>
      <c r="I5" s="241"/>
      <c r="J5" s="42"/>
      <c r="K5" s="42"/>
      <c r="L5" s="42"/>
    </row>
    <row r="6" spans="1:18" x14ac:dyDescent="0.4">
      <c r="A6" s="239"/>
      <c r="B6" s="239"/>
      <c r="C6" s="239"/>
      <c r="D6" s="239"/>
      <c r="E6" s="239"/>
      <c r="F6" s="239"/>
      <c r="G6" s="239"/>
      <c r="H6" s="239"/>
      <c r="I6" s="239"/>
    </row>
    <row r="7" spans="1:18" x14ac:dyDescent="0.4">
      <c r="A7" s="241" t="s">
        <v>282</v>
      </c>
      <c r="B7" s="241"/>
      <c r="C7" s="241"/>
      <c r="D7" s="241"/>
      <c r="E7" s="241"/>
      <c r="F7" s="241"/>
      <c r="G7" s="241"/>
      <c r="H7" s="241"/>
      <c r="I7" s="241"/>
      <c r="J7" s="42"/>
      <c r="K7" s="42"/>
      <c r="L7" s="42"/>
    </row>
    <row r="10" spans="1:18" x14ac:dyDescent="0.4">
      <c r="A10" s="243" t="s">
        <v>283</v>
      </c>
      <c r="B10" s="243"/>
      <c r="C10" s="243"/>
      <c r="D10" s="243"/>
      <c r="E10" s="243"/>
      <c r="F10" s="243"/>
      <c r="G10" s="243"/>
      <c r="H10" s="243"/>
      <c r="I10" s="243"/>
      <c r="J10" s="52"/>
      <c r="K10" s="52"/>
      <c r="L10" s="241" t="s">
        <v>108</v>
      </c>
      <c r="M10" s="241"/>
      <c r="N10" s="241"/>
      <c r="O10" s="241"/>
      <c r="P10" s="241"/>
      <c r="Q10" s="241"/>
    </row>
    <row r="12" spans="1:18" x14ac:dyDescent="0.4">
      <c r="A12" s="2" t="s">
        <v>170</v>
      </c>
      <c r="C12" s="42" t="s">
        <v>138</v>
      </c>
      <c r="D12" s="42" t="s">
        <v>284</v>
      </c>
      <c r="F12" s="42" t="s">
        <v>176</v>
      </c>
      <c r="G12" s="42" t="s">
        <v>284</v>
      </c>
      <c r="L12" s="52" t="s">
        <v>285</v>
      </c>
      <c r="M12" s="52" t="s">
        <v>286</v>
      </c>
      <c r="N12" s="52" t="s">
        <v>287</v>
      </c>
      <c r="O12" s="52" t="s">
        <v>132</v>
      </c>
      <c r="P12" s="52" t="s">
        <v>133</v>
      </c>
      <c r="Q12" s="116" t="s">
        <v>288</v>
      </c>
    </row>
    <row r="13" spans="1:18" x14ac:dyDescent="0.4">
      <c r="C13" s="52" t="s">
        <v>289</v>
      </c>
      <c r="D13" s="52" t="s">
        <v>290</v>
      </c>
      <c r="F13" s="52" t="s">
        <v>289</v>
      </c>
      <c r="G13" s="52" t="s">
        <v>290</v>
      </c>
      <c r="L13" s="42" t="s">
        <v>134</v>
      </c>
      <c r="M13" s="42" t="s">
        <v>138</v>
      </c>
      <c r="N13" s="42">
        <f>'EXHIBIT C3'!M23</f>
        <v>1.04</v>
      </c>
      <c r="O13" s="42">
        <f>'EXHIBIT C3'!P23</f>
        <v>1.0249999999999999</v>
      </c>
      <c r="P13" s="73">
        <f>'EXHIBIT C3'!Q23</f>
        <v>0.94</v>
      </c>
      <c r="Q13" s="73">
        <f>ROUND(N13*O13*P13,3)</f>
        <v>1.002</v>
      </c>
    </row>
    <row r="14" spans="1:18" x14ac:dyDescent="0.4">
      <c r="C14" s="42"/>
      <c r="D14" s="42"/>
      <c r="F14" s="42"/>
      <c r="G14" s="42"/>
      <c r="L14" s="42"/>
      <c r="M14" s="42" t="s">
        <v>291</v>
      </c>
      <c r="N14" s="42">
        <f>'EXHIBIT C3'!M28</f>
        <v>1.016</v>
      </c>
      <c r="O14" s="42">
        <f>'EXHIBIT C3'!P28</f>
        <v>1.0489999999999999</v>
      </c>
      <c r="P14" s="73">
        <f>'EXHIBIT C3'!Q28</f>
        <v>0.92</v>
      </c>
      <c r="Q14" s="73">
        <f t="shared" ref="Q14:Q18" si="0">ROUND(N14*O14*P14,3)</f>
        <v>0.98099999999999998</v>
      </c>
    </row>
    <row r="15" spans="1:18" x14ac:dyDescent="0.4">
      <c r="B15" s="2" t="s">
        <v>134</v>
      </c>
      <c r="C15" s="117">
        <v>29551220</v>
      </c>
      <c r="D15" s="118">
        <f>Q13</f>
        <v>1.002</v>
      </c>
      <c r="F15" s="117">
        <v>16664170</v>
      </c>
      <c r="G15" s="118">
        <f>Q14</f>
        <v>0.98099999999999998</v>
      </c>
      <c r="L15" s="42" t="s">
        <v>135</v>
      </c>
      <c r="M15" s="42" t="s">
        <v>138</v>
      </c>
      <c r="N15" s="42">
        <f>'EXHIBIT C3'!M24</f>
        <v>1.04</v>
      </c>
      <c r="O15" s="42">
        <f>'EXHIBIT C3'!P24</f>
        <v>1.0389999999999999</v>
      </c>
      <c r="P15" s="73">
        <f>'EXHIBIT C3'!Q24</f>
        <v>1</v>
      </c>
      <c r="Q15" s="73">
        <f t="shared" si="0"/>
        <v>1.081</v>
      </c>
    </row>
    <row r="16" spans="1:18" x14ac:dyDescent="0.4">
      <c r="B16" s="2" t="s">
        <v>135</v>
      </c>
      <c r="C16" s="117">
        <v>5556165</v>
      </c>
      <c r="D16" s="118">
        <f>Q15</f>
        <v>1.081</v>
      </c>
      <c r="F16" s="117">
        <v>2277280</v>
      </c>
      <c r="G16" s="118">
        <f>Q16</f>
        <v>1.0449999999999999</v>
      </c>
      <c r="L16" s="42"/>
      <c r="M16" s="42" t="s">
        <v>291</v>
      </c>
      <c r="N16" s="42">
        <f>'EXHIBIT C3'!M29</f>
        <v>1.016</v>
      </c>
      <c r="O16" s="42">
        <f>'EXHIBIT C3'!P29</f>
        <v>1.0289999999999999</v>
      </c>
      <c r="P16" s="73">
        <f>'EXHIBIT C3'!Q29</f>
        <v>1</v>
      </c>
      <c r="Q16" s="73">
        <f t="shared" si="0"/>
        <v>1.0449999999999999</v>
      </c>
    </row>
    <row r="17" spans="1:17" x14ac:dyDescent="0.4">
      <c r="B17" s="2" t="s">
        <v>136</v>
      </c>
      <c r="C17" s="117">
        <v>33431519</v>
      </c>
      <c r="D17" s="118">
        <f>Q17</f>
        <v>1.054</v>
      </c>
      <c r="F17" s="117">
        <v>13814987</v>
      </c>
      <c r="G17" s="118">
        <f>Q18</f>
        <v>1.0489999999999999</v>
      </c>
      <c r="H17" s="241" t="s">
        <v>177</v>
      </c>
      <c r="I17" s="241"/>
      <c r="J17" s="42"/>
      <c r="K17" s="42"/>
      <c r="L17" s="42" t="s">
        <v>136</v>
      </c>
      <c r="M17" s="42" t="s">
        <v>138</v>
      </c>
      <c r="N17" s="42">
        <f>'EXHIBIT C3'!M25</f>
        <v>1.04</v>
      </c>
      <c r="O17" s="42">
        <f>'EXHIBIT C3'!P25</f>
        <v>1.0129999999999999</v>
      </c>
      <c r="P17" s="73">
        <f>'EXHIBIT C3'!Q25</f>
        <v>1</v>
      </c>
      <c r="Q17" s="73">
        <f t="shared" si="0"/>
        <v>1.054</v>
      </c>
    </row>
    <row r="18" spans="1:17" x14ac:dyDescent="0.4">
      <c r="B18" s="2" t="s">
        <v>123</v>
      </c>
      <c r="C18" s="62"/>
      <c r="D18" s="62"/>
      <c r="F18" s="117">
        <v>3406825</v>
      </c>
      <c r="G18" s="118">
        <f>Q20</f>
        <v>1.024</v>
      </c>
      <c r="H18" s="243" t="s">
        <v>292</v>
      </c>
      <c r="I18" s="243"/>
      <c r="J18" s="52"/>
      <c r="K18" s="52"/>
      <c r="L18" s="42"/>
      <c r="M18" s="42" t="s">
        <v>291</v>
      </c>
      <c r="N18" s="42">
        <f>'EXHIBIT C3'!M30</f>
        <v>1.016</v>
      </c>
      <c r="O18" s="42">
        <f>'EXHIBIT C3'!P30</f>
        <v>1.032</v>
      </c>
      <c r="P18" s="73">
        <f>'EXHIBIT C3'!Q30</f>
        <v>1</v>
      </c>
      <c r="Q18" s="73">
        <f t="shared" si="0"/>
        <v>1.0489999999999999</v>
      </c>
    </row>
    <row r="19" spans="1:17" x14ac:dyDescent="0.4">
      <c r="C19" s="42"/>
      <c r="F19" s="42"/>
      <c r="H19" s="239"/>
      <c r="I19" s="239"/>
      <c r="L19" s="42"/>
      <c r="M19" s="42"/>
      <c r="Q19" s="73"/>
    </row>
    <row r="20" spans="1:17" x14ac:dyDescent="0.4">
      <c r="B20" s="47"/>
      <c r="C20" s="119">
        <f>SUM(C15:C17)</f>
        <v>68538904</v>
      </c>
      <c r="D20" s="42">
        <f>ROUND(SUMPRODUCT(C15:C17,D15:D17)/C20,3)</f>
        <v>1.034</v>
      </c>
      <c r="F20" s="119">
        <f>SUM(F15:F18)</f>
        <v>36163262</v>
      </c>
      <c r="G20" s="42">
        <f>ROUND(SUMPRODUCT(F15:F18,G15:G18)/F20,3)</f>
        <v>1.0149999999999999</v>
      </c>
      <c r="H20" s="241">
        <f>ROUND(((C20*D20)+(F20*G20))/(C20+F20),3)</f>
        <v>1.0269999999999999</v>
      </c>
      <c r="I20" s="241"/>
      <c r="J20" s="42"/>
      <c r="K20" s="42"/>
      <c r="L20" s="42" t="s">
        <v>123</v>
      </c>
      <c r="M20" s="42"/>
      <c r="O20" s="73">
        <f>1+'EXHIBIT C4-7'!D45</f>
        <v>1.04</v>
      </c>
      <c r="P20" s="73">
        <f>1+'EXHIBIT C4-7'!E45</f>
        <v>0.98499999999999999</v>
      </c>
      <c r="Q20" s="73">
        <f>ROUND(O20*P20,3)</f>
        <v>1.024</v>
      </c>
    </row>
    <row r="21" spans="1:17" x14ac:dyDescent="0.4">
      <c r="C21" s="42"/>
      <c r="L21" s="42"/>
      <c r="M21" s="42"/>
      <c r="O21" s="73"/>
      <c r="P21" s="73"/>
      <c r="Q21" s="73"/>
    </row>
    <row r="22" spans="1:17" x14ac:dyDescent="0.4">
      <c r="A22" s="2" t="s">
        <v>179</v>
      </c>
      <c r="C22" s="42"/>
      <c r="L22" s="42" t="s">
        <v>293</v>
      </c>
      <c r="M22" s="42"/>
      <c r="O22" s="73">
        <f>1+'EXHIBIT C7-1'!E42</f>
        <v>1.075</v>
      </c>
      <c r="P22" s="73">
        <f>1+'EXHIBIT C7-1'!F42</f>
        <v>0.93500000000000005</v>
      </c>
      <c r="Q22" s="73">
        <f>ROUND(O22*P22,3)</f>
        <v>1.0049999999999999</v>
      </c>
    </row>
    <row r="23" spans="1:17" x14ac:dyDescent="0.4">
      <c r="D23" s="42" t="s">
        <v>284</v>
      </c>
      <c r="L23" s="42" t="s">
        <v>181</v>
      </c>
      <c r="O23" s="73">
        <f>1+'EXHIBIT C7-2'!E42</f>
        <v>1.1200000000000001</v>
      </c>
      <c r="P23" s="73">
        <f>1+'EXHIBIT C7-2'!F42</f>
        <v>0.89</v>
      </c>
      <c r="Q23" s="73">
        <f>ROUND(O23*P23,3)</f>
        <v>0.997</v>
      </c>
    </row>
    <row r="24" spans="1:17" x14ac:dyDescent="0.4">
      <c r="C24" s="52" t="s">
        <v>289</v>
      </c>
      <c r="D24" s="52" t="s">
        <v>290</v>
      </c>
      <c r="L24" s="42" t="s">
        <v>164</v>
      </c>
      <c r="M24" s="42"/>
      <c r="O24" s="73">
        <f>1+'EXHIBIT C7-3'!E42</f>
        <v>1.145</v>
      </c>
      <c r="P24" s="73">
        <f>1+'EXHIBIT C7-3'!F42</f>
        <v>0.92</v>
      </c>
      <c r="Q24" s="73">
        <f t="shared" ref="Q24:Q25" si="1">ROUND(O24*P24,3)</f>
        <v>1.0529999999999999</v>
      </c>
    </row>
    <row r="25" spans="1:17" x14ac:dyDescent="0.4">
      <c r="B25" s="2" t="s">
        <v>180</v>
      </c>
      <c r="C25" s="117">
        <v>9757151</v>
      </c>
      <c r="D25" s="118">
        <f>Q22</f>
        <v>1.0049999999999999</v>
      </c>
      <c r="L25" s="42" t="s">
        <v>165</v>
      </c>
      <c r="M25" s="42"/>
      <c r="O25" s="73">
        <f>1+'EXHIBIT C7-4'!E42</f>
        <v>1.08</v>
      </c>
      <c r="P25" s="73">
        <f>1+'EXHIBIT C7-4'!F42</f>
        <v>0.94</v>
      </c>
      <c r="Q25" s="73">
        <f t="shared" si="1"/>
        <v>1.0149999999999999</v>
      </c>
    </row>
    <row r="26" spans="1:17" x14ac:dyDescent="0.4">
      <c r="B26" s="2" t="s">
        <v>181</v>
      </c>
      <c r="C26" s="117">
        <v>6992336</v>
      </c>
      <c r="D26" s="118">
        <f>Q23</f>
        <v>0.997</v>
      </c>
      <c r="L26" s="42"/>
    </row>
    <row r="27" spans="1:17" x14ac:dyDescent="0.4">
      <c r="C27" s="42"/>
      <c r="D27" s="42"/>
      <c r="L27" s="42"/>
    </row>
    <row r="28" spans="1:17" x14ac:dyDescent="0.4">
      <c r="C28" s="42"/>
      <c r="D28" s="42" t="s">
        <v>284</v>
      </c>
      <c r="L28" s="42" t="s">
        <v>294</v>
      </c>
      <c r="M28" s="42"/>
    </row>
    <row r="29" spans="1:17" x14ac:dyDescent="0.4">
      <c r="C29" s="119"/>
      <c r="D29" s="52" t="s">
        <v>290</v>
      </c>
      <c r="L29" s="91" t="s">
        <v>295</v>
      </c>
      <c r="M29" s="120">
        <f>DZ_INPUTS!B4</f>
        <v>44287</v>
      </c>
    </row>
    <row r="30" spans="1:17" x14ac:dyDescent="0.4">
      <c r="C30" s="119"/>
      <c r="D30" s="42"/>
      <c r="L30" s="2" t="s">
        <v>100</v>
      </c>
      <c r="M30" s="120">
        <f>DZ_INPUTS!B5</f>
        <v>44621</v>
      </c>
    </row>
    <row r="31" spans="1:17" x14ac:dyDescent="0.4">
      <c r="B31" s="91" t="s">
        <v>296</v>
      </c>
      <c r="C31" s="119"/>
      <c r="D31" s="118">
        <f>ROUND(((C25*D25)+(C26*D26))/(C25+C26),3)</f>
        <v>1.002</v>
      </c>
      <c r="I31" s="42"/>
      <c r="J31" s="42"/>
      <c r="K31" s="42"/>
      <c r="L31" s="2" t="s">
        <v>297</v>
      </c>
      <c r="M31" s="2">
        <f>IF(((MONTH(M30)+(YEAR(M30)-2000)*12)-((MONTH(M29))+(YEAR(M29)-2000)*12))&gt;24,24,((MONTH(M30)+(YEAR(M30)-2000)*12)-((MONTH(M29))+(YEAR(M29)-2000)*12)))</f>
        <v>11</v>
      </c>
    </row>
    <row r="32" spans="1:17" x14ac:dyDescent="0.4">
      <c r="B32" s="2" t="s">
        <v>164</v>
      </c>
      <c r="C32" s="119"/>
      <c r="D32" s="118">
        <f>Q24</f>
        <v>1.0529999999999999</v>
      </c>
      <c r="I32" s="42"/>
      <c r="J32" s="42"/>
      <c r="K32" s="42"/>
    </row>
    <row r="33" spans="1:12" x14ac:dyDescent="0.4">
      <c r="B33" s="2" t="s">
        <v>165</v>
      </c>
      <c r="C33" s="119"/>
      <c r="D33" s="118">
        <f>Q25</f>
        <v>1.0149999999999999</v>
      </c>
      <c r="I33" s="42"/>
      <c r="J33" s="42"/>
      <c r="K33" s="42"/>
    </row>
    <row r="35" spans="1:12" x14ac:dyDescent="0.4">
      <c r="A35" s="243" t="s">
        <v>298</v>
      </c>
      <c r="B35" s="243"/>
      <c r="C35" s="243"/>
      <c r="D35" s="243"/>
      <c r="E35" s="243"/>
      <c r="F35" s="243"/>
      <c r="G35" s="243"/>
      <c r="H35" s="243"/>
      <c r="I35" s="243"/>
      <c r="J35" s="52"/>
      <c r="K35" s="52"/>
    </row>
    <row r="37" spans="1:12" x14ac:dyDescent="0.4">
      <c r="A37" s="2" t="s">
        <v>170</v>
      </c>
      <c r="C37" s="42" t="s">
        <v>138</v>
      </c>
      <c r="D37" s="42" t="s">
        <v>284</v>
      </c>
      <c r="F37" s="42" t="s">
        <v>176</v>
      </c>
      <c r="G37" s="42" t="s">
        <v>284</v>
      </c>
      <c r="H37" s="241" t="s">
        <v>177</v>
      </c>
      <c r="I37" s="241"/>
      <c r="J37" s="42"/>
      <c r="K37" s="42"/>
    </row>
    <row r="38" spans="1:12" x14ac:dyDescent="0.4">
      <c r="C38" s="52" t="s">
        <v>289</v>
      </c>
      <c r="D38" s="52" t="s">
        <v>290</v>
      </c>
      <c r="F38" s="52" t="s">
        <v>289</v>
      </c>
      <c r="G38" s="52" t="s">
        <v>290</v>
      </c>
      <c r="H38" s="243" t="s">
        <v>292</v>
      </c>
      <c r="I38" s="243"/>
      <c r="J38" s="52"/>
      <c r="K38" s="52"/>
      <c r="L38" s="52"/>
    </row>
    <row r="39" spans="1:12" x14ac:dyDescent="0.4">
      <c r="H39" s="241"/>
      <c r="I39" s="241"/>
      <c r="J39" s="42"/>
      <c r="K39" s="42"/>
      <c r="L39" s="42"/>
    </row>
    <row r="40" spans="1:12" x14ac:dyDescent="0.4">
      <c r="B40" s="47"/>
      <c r="C40" s="119">
        <f>SUM(C15:C17)</f>
        <v>68538904</v>
      </c>
      <c r="D40" s="73">
        <f>1+'EXHIBIT C9'!C21</f>
        <v>1.024</v>
      </c>
      <c r="F40" s="119">
        <f>SUM(F15:F18)</f>
        <v>36163262</v>
      </c>
      <c r="G40" s="42">
        <f>1+'EXHIBIT C9'!C35</f>
        <v>1.0209999999999999</v>
      </c>
      <c r="H40" s="241">
        <f>ROUND(((C40*D40)+(F40*G40))/(C40+F40),3)</f>
        <v>1.0229999999999999</v>
      </c>
      <c r="I40" s="241"/>
      <c r="J40" s="42"/>
      <c r="K40" s="42"/>
      <c r="L40" s="42"/>
    </row>
    <row r="42" spans="1:12" x14ac:dyDescent="0.4">
      <c r="A42" s="2" t="s">
        <v>179</v>
      </c>
      <c r="D42" s="42" t="s">
        <v>284</v>
      </c>
    </row>
    <row r="43" spans="1:12" x14ac:dyDescent="0.4">
      <c r="D43" s="52" t="s">
        <v>290</v>
      </c>
    </row>
    <row r="45" spans="1:12" x14ac:dyDescent="0.4">
      <c r="B45" s="91" t="s">
        <v>296</v>
      </c>
      <c r="C45" s="119"/>
      <c r="D45" s="46">
        <f>1+'EXHIBIT C9'!C35</f>
        <v>1.0209999999999999</v>
      </c>
    </row>
    <row r="46" spans="1:12" x14ac:dyDescent="0.4">
      <c r="B46" s="2" t="s">
        <v>164</v>
      </c>
      <c r="C46" s="119"/>
      <c r="D46" s="118">
        <f>1+'EXHIBIT C9'!C48</f>
        <v>1.0209999999999999</v>
      </c>
    </row>
    <row r="47" spans="1:12" x14ac:dyDescent="0.4">
      <c r="B47" s="2" t="s">
        <v>165</v>
      </c>
      <c r="C47" s="119"/>
      <c r="D47" s="118">
        <f>1+'EXHIBIT C9'!F48</f>
        <v>1.016</v>
      </c>
    </row>
    <row r="49" spans="1:12" x14ac:dyDescent="0.4">
      <c r="A49" s="243" t="s">
        <v>299</v>
      </c>
      <c r="B49" s="243"/>
      <c r="C49" s="243"/>
      <c r="D49" s="243"/>
      <c r="E49" s="243"/>
      <c r="F49" s="243"/>
      <c r="G49" s="243"/>
      <c r="H49" s="243"/>
      <c r="I49" s="243"/>
      <c r="J49" s="52"/>
      <c r="K49" s="52"/>
      <c r="L49" s="52"/>
    </row>
    <row r="51" spans="1:12" x14ac:dyDescent="0.4">
      <c r="F51" s="42"/>
      <c r="G51" s="42"/>
      <c r="H51" s="42" t="s">
        <v>300</v>
      </c>
    </row>
    <row r="52" spans="1:12" x14ac:dyDescent="0.4">
      <c r="F52" s="42" t="s">
        <v>301</v>
      </c>
      <c r="G52" s="42"/>
      <c r="H52" s="42" t="s">
        <v>219</v>
      </c>
    </row>
    <row r="53" spans="1:12" x14ac:dyDescent="0.4">
      <c r="F53" s="52" t="s">
        <v>292</v>
      </c>
      <c r="G53" s="42"/>
      <c r="H53" s="52" t="s">
        <v>302</v>
      </c>
    </row>
    <row r="54" spans="1:12" x14ac:dyDescent="0.4">
      <c r="A54" s="2" t="s">
        <v>303</v>
      </c>
      <c r="F54" s="73">
        <f>ROUND(H20/H40,3)</f>
        <v>1.004</v>
      </c>
      <c r="H54" s="73">
        <f>ROUND(F54^ROUND(($M$31/12),2),3)</f>
        <v>1.004</v>
      </c>
    </row>
    <row r="55" spans="1:12" x14ac:dyDescent="0.4">
      <c r="A55" s="239" t="s">
        <v>304</v>
      </c>
      <c r="B55" s="239"/>
      <c r="C55" s="239"/>
      <c r="D55" s="239"/>
      <c r="E55" s="239"/>
      <c r="F55" s="73">
        <f>ROUND(D31/D45,3)</f>
        <v>0.98099999999999998</v>
      </c>
      <c r="H55" s="73">
        <f t="shared" ref="H55:H57" si="2">ROUND(F55^ROUND(($M$31/12),2),3)</f>
        <v>0.98299999999999998</v>
      </c>
    </row>
    <row r="56" spans="1:12" x14ac:dyDescent="0.4">
      <c r="A56" s="239" t="s">
        <v>305</v>
      </c>
      <c r="B56" s="239"/>
      <c r="C56" s="239"/>
      <c r="D56" s="239"/>
      <c r="E56" s="239"/>
      <c r="F56" s="73">
        <f>ROUND(D32/D46,3)</f>
        <v>1.0309999999999999</v>
      </c>
      <c r="H56" s="73">
        <f t="shared" si="2"/>
        <v>1.028</v>
      </c>
    </row>
    <row r="57" spans="1:12" x14ac:dyDescent="0.4">
      <c r="A57" s="239" t="s">
        <v>306</v>
      </c>
      <c r="B57" s="239"/>
      <c r="C57" s="239"/>
      <c r="D57" s="239"/>
      <c r="E57" s="239"/>
      <c r="F57" s="73">
        <f>ROUND(D33/D47,3)</f>
        <v>0.999</v>
      </c>
      <c r="H57" s="73">
        <f t="shared" si="2"/>
        <v>0.999</v>
      </c>
    </row>
    <row r="59" spans="1:12" x14ac:dyDescent="0.4">
      <c r="A59" s="251" t="str">
        <f>"(a)  The projection period is from the date of the last approval, "&amp;TEXT(M29,"m/d/yyyy")&amp;", to the assumed effective trend date"</f>
        <v>(a)  The projection period is from the date of the last approval, 4/1/2021, to the assumed effective trend date</v>
      </c>
      <c r="B59" s="251"/>
      <c r="C59" s="251"/>
      <c r="D59" s="251"/>
      <c r="E59" s="251"/>
      <c r="F59" s="251"/>
      <c r="G59" s="251"/>
      <c r="H59" s="251"/>
    </row>
    <row r="60" spans="1:12" x14ac:dyDescent="0.4">
      <c r="A60" s="251" t="str">
        <f>"       of "&amp;TEXT(M30,"m/d/yyyy")&amp;".  For ALL PROPERTY,  "&amp;H54&amp;" = "&amp;F54&amp;"^("&amp;M31&amp;"/12)."</f>
        <v xml:space="preserve">       of 3/1/2022.  For ALL PROPERTY,  1.004 = 1.004^(11/12).</v>
      </c>
      <c r="B60" s="251"/>
      <c r="C60" s="251"/>
      <c r="D60" s="251"/>
      <c r="E60" s="251"/>
      <c r="F60" s="251"/>
      <c r="G60" s="251"/>
      <c r="H60" s="251"/>
    </row>
  </sheetData>
  <mergeCells count="24">
    <mergeCell ref="L10:Q10"/>
    <mergeCell ref="H17:I17"/>
    <mergeCell ref="H18:I18"/>
    <mergeCell ref="A60:H60"/>
    <mergeCell ref="H20:I20"/>
    <mergeCell ref="A35:I35"/>
    <mergeCell ref="H37:I37"/>
    <mergeCell ref="H38:I38"/>
    <mergeCell ref="H39:I39"/>
    <mergeCell ref="H40:I40"/>
    <mergeCell ref="A49:I49"/>
    <mergeCell ref="A55:E55"/>
    <mergeCell ref="A56:E56"/>
    <mergeCell ref="A57:E57"/>
    <mergeCell ref="A59:H59"/>
    <mergeCell ref="H19:I19"/>
    <mergeCell ref="A1:I1"/>
    <mergeCell ref="A2:I2"/>
    <mergeCell ref="A3:I3"/>
    <mergeCell ref="A4:I4"/>
    <mergeCell ref="A5:I5"/>
    <mergeCell ref="A6:I6"/>
    <mergeCell ref="A7:I7"/>
    <mergeCell ref="A10:I10"/>
  </mergeCells>
  <printOptions horizontalCentered="1"/>
  <pageMargins left="0.7" right="0.7" top="0.25" bottom="0.25" header="0.3" footer="0.3"/>
  <pageSetup scale="88" firstPageNumber="0" orientation="portrait" useFirstPageNumber="1" r:id="rId1"/>
  <headerFooter>
    <oddHeader>&amp;L&amp;"Times New Roman"&amp;9INSURANCE SERVICES OFFICE, INC.</oddHeader>
    <oddFooter>&amp;C&amp;"Times New Roman"&amp;9© Insurance Services Office, Inc., 2022        		OREGON        BP-2021-RLA1&amp;R&amp;"Times New Roman"&amp;9&amp;A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88A58-06AB-440A-91D4-358E0F16F3A6}">
  <dimension ref="A1:F62"/>
  <sheetViews>
    <sheetView zoomScaleNormal="100" workbookViewId="0"/>
  </sheetViews>
  <sheetFormatPr defaultColWidth="9.1328125" defaultRowHeight="13.15" x14ac:dyDescent="0.4"/>
  <cols>
    <col min="1" max="1" width="6.59765625" style="4" customWidth="1"/>
    <col min="2" max="2" width="8.1328125" style="4" customWidth="1"/>
    <col min="3" max="3" width="9.1328125" style="4" customWidth="1"/>
    <col min="4" max="4" width="21.1328125" style="4" customWidth="1"/>
    <col min="5" max="5" width="22.3984375" style="4" customWidth="1"/>
    <col min="6" max="6" width="12.1328125" style="4" customWidth="1"/>
    <col min="7" max="7" width="9.1328125" style="4"/>
    <col min="8" max="8" width="13.73046875" style="4" customWidth="1"/>
    <col min="9" max="16384" width="9.1328125" style="4"/>
  </cols>
  <sheetData>
    <row r="1" spans="1:6" ht="13.9" x14ac:dyDescent="0.4">
      <c r="A1" s="17"/>
      <c r="B1" s="255" t="str">
        <f>UPPER(state)</f>
        <v>OREGON</v>
      </c>
      <c r="C1" s="255"/>
      <c r="D1" s="255"/>
      <c r="E1" s="255"/>
      <c r="F1" s="17"/>
    </row>
    <row r="2" spans="1:6" ht="13.9" x14ac:dyDescent="0.4">
      <c r="A2" s="17"/>
      <c r="B2" s="254"/>
      <c r="C2" s="254"/>
      <c r="D2" s="254"/>
      <c r="E2" s="254"/>
      <c r="F2" s="17"/>
    </row>
    <row r="3" spans="1:6" ht="13.9" x14ac:dyDescent="0.4">
      <c r="A3" s="17"/>
      <c r="B3" s="255" t="s">
        <v>153</v>
      </c>
      <c r="C3" s="255"/>
      <c r="D3" s="255"/>
      <c r="E3" s="255"/>
      <c r="F3" s="17"/>
    </row>
    <row r="4" spans="1:6" ht="13.9" x14ac:dyDescent="0.4">
      <c r="A4" s="17"/>
      <c r="B4" s="254"/>
      <c r="C4" s="254"/>
      <c r="D4" s="254"/>
      <c r="E4" s="254"/>
      <c r="F4" s="17"/>
    </row>
    <row r="5" spans="1:6" ht="13.9" x14ac:dyDescent="0.4">
      <c r="A5" s="17"/>
      <c r="B5" s="255" t="s">
        <v>307</v>
      </c>
      <c r="C5" s="255"/>
      <c r="D5" s="255"/>
      <c r="E5" s="255"/>
      <c r="F5" s="17"/>
    </row>
    <row r="6" spans="1:6" ht="13.9" x14ac:dyDescent="0.4">
      <c r="A6" s="17"/>
      <c r="B6" s="254"/>
      <c r="C6" s="254"/>
      <c r="D6" s="254"/>
      <c r="E6" s="254"/>
      <c r="F6" s="17"/>
    </row>
    <row r="7" spans="1:6" ht="13.9" x14ac:dyDescent="0.4">
      <c r="A7" s="17"/>
      <c r="B7" s="255" t="s">
        <v>308</v>
      </c>
      <c r="C7" s="255"/>
      <c r="D7" s="255"/>
      <c r="E7" s="255"/>
      <c r="F7" s="17"/>
    </row>
    <row r="8" spans="1:6" ht="13.9" x14ac:dyDescent="0.4">
      <c r="A8" s="17"/>
      <c r="B8" s="255" t="s">
        <v>309</v>
      </c>
      <c r="C8" s="255"/>
      <c r="D8" s="255"/>
      <c r="E8" s="255"/>
      <c r="F8" s="17"/>
    </row>
    <row r="9" spans="1:6" ht="13.9" x14ac:dyDescent="0.4">
      <c r="A9" s="121"/>
      <c r="B9" s="17"/>
      <c r="C9" s="17"/>
      <c r="D9" s="17"/>
      <c r="E9" s="17"/>
      <c r="F9" s="17"/>
    </row>
    <row r="10" spans="1:6" ht="13.9" x14ac:dyDescent="0.4">
      <c r="A10" s="17"/>
      <c r="B10" s="17"/>
      <c r="C10" s="17"/>
      <c r="D10" s="17"/>
      <c r="E10" s="17"/>
      <c r="F10" s="17"/>
    </row>
    <row r="11" spans="1:6" ht="13.9" x14ac:dyDescent="0.4">
      <c r="A11" s="17"/>
      <c r="B11" s="122"/>
      <c r="C11" s="17"/>
      <c r="D11" s="122"/>
      <c r="E11" s="122"/>
      <c r="F11" s="17"/>
    </row>
    <row r="12" spans="1:6" ht="13.9" x14ac:dyDescent="0.4">
      <c r="A12" s="17"/>
      <c r="B12" s="122"/>
      <c r="C12" s="17"/>
      <c r="D12" s="256" t="s">
        <v>310</v>
      </c>
      <c r="E12" s="256"/>
      <c r="F12" s="17"/>
    </row>
    <row r="13" spans="1:6" ht="13.9" x14ac:dyDescent="0.4">
      <c r="A13" s="17"/>
      <c r="B13" s="17"/>
      <c r="C13" s="123" t="s">
        <v>109</v>
      </c>
      <c r="D13" s="123" t="s">
        <v>138</v>
      </c>
      <c r="E13" s="123" t="s">
        <v>139</v>
      </c>
      <c r="F13" s="17"/>
    </row>
    <row r="14" spans="1:6" ht="13.9" x14ac:dyDescent="0.4">
      <c r="A14" s="17"/>
      <c r="B14" s="17"/>
      <c r="C14" s="122"/>
      <c r="D14" s="123"/>
      <c r="E14" s="123"/>
      <c r="F14" s="17"/>
    </row>
    <row r="15" spans="1:6" ht="13.9" x14ac:dyDescent="0.4">
      <c r="A15" s="17"/>
      <c r="B15" s="17"/>
      <c r="C15" s="122" t="str">
        <f>'EXHIBIT C2'!B37</f>
        <v>9/30/2016</v>
      </c>
      <c r="D15" s="124">
        <f>'EXHIBIT C2'!G37</f>
        <v>1.2290000000000001</v>
      </c>
      <c r="E15" s="124">
        <f>'EXHIBIT C2'!J37</f>
        <v>1.1000000000000001</v>
      </c>
      <c r="F15" s="17"/>
    </row>
    <row r="16" spans="1:6" ht="13.9" x14ac:dyDescent="0.4">
      <c r="A16" s="17"/>
      <c r="B16" s="17"/>
      <c r="C16" s="122" t="str">
        <f>'EXHIBIT C2'!B38</f>
        <v>9/30/2017</v>
      </c>
      <c r="D16" s="124">
        <f>'EXHIBIT C2'!G38</f>
        <v>1.198</v>
      </c>
      <c r="E16" s="124">
        <f>'EXHIBIT C2'!J38</f>
        <v>1.0860000000000001</v>
      </c>
      <c r="F16" s="17"/>
    </row>
    <row r="17" spans="1:6" ht="13.9" x14ac:dyDescent="0.4">
      <c r="A17" s="17"/>
      <c r="B17" s="17"/>
      <c r="C17" s="122" t="str">
        <f>'EXHIBIT C2'!B39</f>
        <v>9/30/2018</v>
      </c>
      <c r="D17" s="124">
        <f>'EXHIBIT C2'!G39</f>
        <v>1.1619999999999999</v>
      </c>
      <c r="E17" s="124">
        <f>'EXHIBIT C2'!J39</f>
        <v>1.0669999999999999</v>
      </c>
      <c r="F17" s="17"/>
    </row>
    <row r="18" spans="1:6" ht="13.9" x14ac:dyDescent="0.4">
      <c r="A18" s="17"/>
      <c r="B18" s="17"/>
      <c r="C18" s="122" t="str">
        <f>'EXHIBIT C2'!B40</f>
        <v>9/30/2019</v>
      </c>
      <c r="D18" s="124">
        <f>'EXHIBIT C2'!G40</f>
        <v>1.1299999999999999</v>
      </c>
      <c r="E18" s="124">
        <f>'EXHIBIT C2'!J40</f>
        <v>1.044</v>
      </c>
      <c r="F18" s="17"/>
    </row>
    <row r="19" spans="1:6" ht="13.9" x14ac:dyDescent="0.4">
      <c r="A19" s="17"/>
      <c r="B19" s="17"/>
      <c r="C19" s="122" t="str">
        <f>'EXHIBIT C2'!B41</f>
        <v>9/30/2020</v>
      </c>
      <c r="D19" s="124">
        <f>'EXHIBIT C2'!G41</f>
        <v>1.083</v>
      </c>
      <c r="E19" s="124">
        <f>'EXHIBIT C2'!J41</f>
        <v>1.03</v>
      </c>
      <c r="F19" s="17"/>
    </row>
    <row r="20" spans="1:6" ht="13.9" x14ac:dyDescent="0.4">
      <c r="A20" s="17"/>
      <c r="B20" s="17"/>
      <c r="C20" s="17"/>
      <c r="D20" s="124"/>
      <c r="E20" s="124"/>
      <c r="F20" s="17"/>
    </row>
    <row r="21" spans="1:6" ht="13.9" x14ac:dyDescent="0.4">
      <c r="A21" s="17"/>
      <c r="B21" s="17"/>
      <c r="C21" s="17"/>
      <c r="D21" s="257" t="s">
        <v>311</v>
      </c>
      <c r="E21" s="257"/>
      <c r="F21" s="17"/>
    </row>
    <row r="22" spans="1:6" ht="13.9" x14ac:dyDescent="0.4">
      <c r="A22" s="17"/>
      <c r="B22" s="17"/>
      <c r="C22" s="17"/>
      <c r="D22" s="124"/>
      <c r="E22" s="124"/>
      <c r="F22" s="17"/>
    </row>
    <row r="23" spans="1:6" ht="13.9" x14ac:dyDescent="0.4">
      <c r="A23" s="17"/>
      <c r="B23" s="17"/>
      <c r="C23" s="17"/>
      <c r="D23" s="123" t="s">
        <v>138</v>
      </c>
      <c r="E23" s="123" t="s">
        <v>139</v>
      </c>
      <c r="F23" s="17"/>
    </row>
    <row r="24" spans="1:6" ht="13.9" x14ac:dyDescent="0.4">
      <c r="A24" s="125"/>
      <c r="B24" s="254"/>
      <c r="C24" s="254"/>
      <c r="D24" s="124">
        <f>'EXHIBIT C2'!E50</f>
        <v>1.0880000000000001</v>
      </c>
      <c r="E24" s="124">
        <f>'EXHIBIT C2'!G50</f>
        <v>1.0329999999999999</v>
      </c>
      <c r="F24" s="17"/>
    </row>
    <row r="25" spans="1:6" ht="13.9" x14ac:dyDescent="0.4">
      <c r="A25" s="125"/>
      <c r="B25" s="17"/>
      <c r="C25" s="17"/>
      <c r="D25" s="122"/>
      <c r="E25" s="122"/>
      <c r="F25" s="17"/>
    </row>
    <row r="26" spans="1:6" ht="13.9" x14ac:dyDescent="0.4">
      <c r="A26" s="125"/>
      <c r="B26" s="17"/>
      <c r="C26" s="17"/>
      <c r="D26" s="256" t="s">
        <v>312</v>
      </c>
      <c r="E26" s="256"/>
      <c r="F26" s="17"/>
    </row>
    <row r="27" spans="1:6" ht="13.9" x14ac:dyDescent="0.4">
      <c r="A27" s="17"/>
      <c r="B27" s="125"/>
      <c r="C27" s="17"/>
      <c r="D27" s="123" t="s">
        <v>138</v>
      </c>
      <c r="E27" s="123" t="s">
        <v>139</v>
      </c>
      <c r="F27" s="122"/>
    </row>
    <row r="28" spans="1:6" ht="13.9" x14ac:dyDescent="0.4">
      <c r="A28" s="125"/>
      <c r="B28" s="254" t="s">
        <v>103</v>
      </c>
      <c r="C28" s="254"/>
      <c r="D28" s="126">
        <f>'EXHIBIT C3'!R23-1</f>
        <v>-3.6000000000000032E-2</v>
      </c>
      <c r="E28" s="126">
        <f>'EXHIBIT C3'!R28-1</f>
        <v>-3.5000000000000031E-2</v>
      </c>
      <c r="F28" s="122"/>
    </row>
    <row r="29" spans="1:6" ht="13.9" x14ac:dyDescent="0.4">
      <c r="A29" s="125"/>
      <c r="B29" s="17" t="s">
        <v>104</v>
      </c>
      <c r="C29" s="17"/>
      <c r="D29" s="126">
        <f>'EXHIBIT C3'!R24-1</f>
        <v>3.8999999999999924E-2</v>
      </c>
      <c r="E29" s="126">
        <f>'EXHIBIT C3'!R29-1</f>
        <v>2.8999999999999915E-2</v>
      </c>
      <c r="F29" s="127"/>
    </row>
    <row r="30" spans="1:6" ht="13.9" x14ac:dyDescent="0.4">
      <c r="A30" s="125"/>
      <c r="B30" s="17" t="s">
        <v>105</v>
      </c>
      <c r="C30" s="17"/>
      <c r="D30" s="126">
        <f>'EXHIBIT C3'!R25-1</f>
        <v>1.2999999999999901E-2</v>
      </c>
      <c r="E30" s="126">
        <f>'EXHIBIT C3'!R30-1</f>
        <v>3.2000000000000028E-2</v>
      </c>
    </row>
    <row r="31" spans="1:6" ht="13.9" x14ac:dyDescent="0.4">
      <c r="A31" s="125"/>
      <c r="B31" s="17"/>
      <c r="C31" s="17"/>
      <c r="D31" s="17"/>
      <c r="E31" s="122"/>
      <c r="F31" s="122"/>
    </row>
    <row r="32" spans="1:6" ht="13.9" x14ac:dyDescent="0.4">
      <c r="A32" s="17"/>
      <c r="B32" s="125"/>
      <c r="C32" s="17"/>
      <c r="D32" s="17"/>
      <c r="E32" s="17"/>
      <c r="F32" s="17"/>
    </row>
    <row r="33" spans="1:6" ht="13.9" x14ac:dyDescent="0.4">
      <c r="A33" s="128" t="s">
        <v>313</v>
      </c>
      <c r="B33" s="17" t="s">
        <v>314</v>
      </c>
      <c r="C33" s="17"/>
      <c r="D33" s="17"/>
      <c r="E33" s="17"/>
      <c r="F33" s="17"/>
    </row>
    <row r="34" spans="1:6" ht="13.9" x14ac:dyDescent="0.4">
      <c r="A34" s="121"/>
      <c r="B34" s="17" t="s">
        <v>315</v>
      </c>
      <c r="C34" s="17"/>
      <c r="D34" s="17"/>
      <c r="E34" s="17"/>
      <c r="F34" s="17"/>
    </row>
    <row r="35" spans="1:6" ht="13.9" x14ac:dyDescent="0.4">
      <c r="A35" s="17"/>
      <c r="B35" s="17"/>
      <c r="C35" s="17"/>
      <c r="D35" s="17"/>
      <c r="E35" s="129"/>
      <c r="F35" s="17"/>
    </row>
    <row r="36" spans="1:6" ht="13.9" x14ac:dyDescent="0.4">
      <c r="A36" s="128" t="s">
        <v>316</v>
      </c>
      <c r="B36" s="17" t="s">
        <v>317</v>
      </c>
      <c r="C36" s="17"/>
      <c r="D36" s="17"/>
      <c r="E36" s="130"/>
      <c r="F36" s="17"/>
    </row>
    <row r="37" spans="1:6" ht="13.9" x14ac:dyDescent="0.4">
      <c r="A37" s="17"/>
      <c r="B37" s="17" t="s">
        <v>318</v>
      </c>
      <c r="C37" s="17"/>
      <c r="D37" s="17"/>
      <c r="E37" s="17"/>
      <c r="F37" s="124"/>
    </row>
    <row r="38" spans="1:6" ht="13.9" x14ac:dyDescent="0.4">
      <c r="A38" s="17"/>
      <c r="B38" s="17" t="s">
        <v>319</v>
      </c>
      <c r="C38" s="17"/>
      <c r="D38" s="17"/>
      <c r="E38" s="17"/>
      <c r="F38" s="124"/>
    </row>
    <row r="39" spans="1:6" x14ac:dyDescent="0.4">
      <c r="F39" s="72"/>
    </row>
    <row r="41" spans="1:6" x14ac:dyDescent="0.4">
      <c r="A41" s="131"/>
    </row>
    <row r="43" spans="1:6" x14ac:dyDescent="0.4">
      <c r="C43" s="132"/>
      <c r="D43" s="132"/>
      <c r="E43" s="132"/>
      <c r="F43" s="132"/>
    </row>
    <row r="44" spans="1:6" x14ac:dyDescent="0.4">
      <c r="D44" s="133"/>
      <c r="E44" s="133"/>
      <c r="F44" s="133"/>
    </row>
    <row r="45" spans="1:6" x14ac:dyDescent="0.4">
      <c r="D45" s="133"/>
      <c r="E45" s="133"/>
      <c r="F45" s="133"/>
    </row>
    <row r="46" spans="1:6" x14ac:dyDescent="0.4">
      <c r="D46" s="133"/>
      <c r="E46" s="133"/>
      <c r="F46" s="133"/>
    </row>
    <row r="47" spans="1:6" x14ac:dyDescent="0.4">
      <c r="C47" s="134"/>
      <c r="D47" s="135"/>
      <c r="E47" s="136"/>
      <c r="F47" s="135"/>
    </row>
    <row r="48" spans="1:6" x14ac:dyDescent="0.4">
      <c r="D48" s="137"/>
      <c r="F48" s="137"/>
    </row>
    <row r="49" spans="1:6" x14ac:dyDescent="0.4">
      <c r="C49" s="133"/>
      <c r="D49" s="133"/>
      <c r="E49" s="72"/>
      <c r="F49" s="72"/>
    </row>
    <row r="50" spans="1:6" x14ac:dyDescent="0.4">
      <c r="C50" s="133"/>
      <c r="D50" s="133"/>
      <c r="E50" s="72"/>
      <c r="F50" s="72"/>
    </row>
    <row r="51" spans="1:6" x14ac:dyDescent="0.4">
      <c r="C51" s="133"/>
      <c r="D51" s="133"/>
      <c r="E51" s="72"/>
      <c r="F51" s="72"/>
    </row>
    <row r="52" spans="1:6" x14ac:dyDescent="0.4">
      <c r="C52" s="133"/>
      <c r="D52" s="133"/>
      <c r="E52" s="72"/>
      <c r="F52" s="72"/>
    </row>
    <row r="53" spans="1:6" x14ac:dyDescent="0.4">
      <c r="C53" s="133"/>
      <c r="D53" s="133"/>
      <c r="E53" s="72"/>
      <c r="F53" s="72"/>
    </row>
    <row r="54" spans="1:6" x14ac:dyDescent="0.4">
      <c r="C54" s="133"/>
      <c r="D54" s="133"/>
      <c r="E54" s="72"/>
      <c r="F54" s="72"/>
    </row>
    <row r="55" spans="1:6" x14ac:dyDescent="0.4">
      <c r="C55" s="133"/>
      <c r="D55" s="133"/>
      <c r="E55" s="72"/>
      <c r="F55" s="72"/>
    </row>
    <row r="56" spans="1:6" x14ac:dyDescent="0.4">
      <c r="C56" s="133"/>
      <c r="D56" s="133"/>
      <c r="E56" s="72"/>
      <c r="F56" s="72"/>
    </row>
    <row r="58" spans="1:6" x14ac:dyDescent="0.4">
      <c r="A58" s="138"/>
    </row>
    <row r="59" spans="1:6" x14ac:dyDescent="0.4">
      <c r="A59" s="139"/>
    </row>
    <row r="60" spans="1:6" x14ac:dyDescent="0.4">
      <c r="A60" s="138"/>
    </row>
    <row r="61" spans="1:6" x14ac:dyDescent="0.4">
      <c r="A61" s="139"/>
    </row>
    <row r="62" spans="1:6" x14ac:dyDescent="0.4">
      <c r="A62" s="138"/>
    </row>
  </sheetData>
  <mergeCells count="13">
    <mergeCell ref="B28:C28"/>
    <mergeCell ref="B7:E7"/>
    <mergeCell ref="B8:E8"/>
    <mergeCell ref="D12:E12"/>
    <mergeCell ref="D21:E21"/>
    <mergeCell ref="B24:C24"/>
    <mergeCell ref="D26:E26"/>
    <mergeCell ref="B6:E6"/>
    <mergeCell ref="B1:E1"/>
    <mergeCell ref="B2:E2"/>
    <mergeCell ref="B3:E3"/>
    <mergeCell ref="B4:E4"/>
    <mergeCell ref="B5:E5"/>
  </mergeCells>
  <printOptions horizontalCentered="1"/>
  <pageMargins left="0.89" right="0.46" top="0.36" bottom="0.35" header="0.3" footer="0.3"/>
  <pageSetup firstPageNumber="0" orientation="portrait" useFirstPageNumber="1" r:id="rId1"/>
  <headerFooter>
    <oddHeader>&amp;L&amp;"Times New Roman"&amp;9INSURANCE SERVICES OFFICE, INC.</oddHeader>
    <oddFooter>&amp;C&amp;"Times New Roman"&amp;9© Insurance Services Office, Inc., 2022        		OREGON        BP-2021-RLA1&amp;R&amp;"Times New Roman"&amp;9&amp;A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2FBE1-0B44-4F55-A8F2-8CB4E7053EFA}">
  <dimension ref="A1:O53"/>
  <sheetViews>
    <sheetView zoomScaleNormal="100" workbookViewId="0">
      <selection sqref="A1:J1"/>
    </sheetView>
  </sheetViews>
  <sheetFormatPr defaultColWidth="9.1328125" defaultRowHeight="13.15" x14ac:dyDescent="0.4"/>
  <cols>
    <col min="1" max="1" width="4.3984375" style="4" customWidth="1"/>
    <col min="2" max="3" width="9.1328125" style="4"/>
    <col min="4" max="4" width="13.1328125" style="4" customWidth="1"/>
    <col min="5" max="5" width="9.1328125" style="4"/>
    <col min="6" max="6" width="13.1328125" style="4" customWidth="1"/>
    <col min="7" max="7" width="9.1328125" style="4"/>
    <col min="8" max="8" width="6.59765625" style="4" customWidth="1"/>
    <col min="9" max="9" width="6" style="4" customWidth="1"/>
    <col min="10" max="11" width="9.1328125" style="4"/>
    <col min="12" max="12" width="36.59765625" style="4" bestFit="1" customWidth="1"/>
    <col min="13" max="13" width="9.1328125" style="4"/>
    <col min="14" max="14" width="10.3984375" style="4" customWidth="1"/>
    <col min="15" max="15" width="17" style="4" customWidth="1"/>
    <col min="16" max="16384" width="9.1328125" style="4"/>
  </cols>
  <sheetData>
    <row r="1" spans="1:15" x14ac:dyDescent="0.4">
      <c r="A1" s="259" t="str">
        <f>UPPER(state)</f>
        <v>OREGON</v>
      </c>
      <c r="B1" s="259"/>
      <c r="C1" s="259"/>
      <c r="D1" s="259"/>
      <c r="E1" s="259"/>
      <c r="F1" s="259"/>
      <c r="G1" s="259"/>
      <c r="H1" s="259"/>
      <c r="I1" s="259"/>
      <c r="J1" s="259"/>
      <c r="K1" s="133"/>
      <c r="L1" s="133"/>
      <c r="M1" s="133"/>
      <c r="O1" s="139"/>
    </row>
    <row r="2" spans="1:15" x14ac:dyDescent="0.4">
      <c r="A2" s="258"/>
      <c r="B2" s="258"/>
      <c r="C2" s="258"/>
      <c r="D2" s="258"/>
      <c r="E2" s="258"/>
      <c r="F2" s="258"/>
      <c r="G2" s="258"/>
      <c r="H2" s="258"/>
      <c r="I2" s="258"/>
      <c r="J2" s="258"/>
      <c r="O2" s="139"/>
    </row>
    <row r="3" spans="1:15" x14ac:dyDescent="0.4">
      <c r="A3" s="259" t="s">
        <v>153</v>
      </c>
      <c r="B3" s="259"/>
      <c r="C3" s="259"/>
      <c r="D3" s="259"/>
      <c r="E3" s="259"/>
      <c r="F3" s="259"/>
      <c r="G3" s="259"/>
      <c r="H3" s="259"/>
      <c r="I3" s="259"/>
      <c r="J3" s="259"/>
      <c r="K3" s="133"/>
      <c r="L3" s="133"/>
      <c r="M3" s="133"/>
      <c r="O3" s="139"/>
    </row>
    <row r="4" spans="1:15" x14ac:dyDescent="0.4">
      <c r="A4" s="258"/>
      <c r="B4" s="258"/>
      <c r="C4" s="258"/>
      <c r="D4" s="258"/>
      <c r="E4" s="258"/>
      <c r="F4" s="258"/>
      <c r="G4" s="258"/>
      <c r="H4" s="258"/>
      <c r="I4" s="258"/>
      <c r="J4" s="258"/>
    </row>
    <row r="5" spans="1:15" x14ac:dyDescent="0.4">
      <c r="A5" s="259" t="s">
        <v>320</v>
      </c>
      <c r="B5" s="259"/>
      <c r="C5" s="259"/>
      <c r="D5" s="259"/>
      <c r="E5" s="259"/>
      <c r="F5" s="259"/>
      <c r="G5" s="259"/>
      <c r="H5" s="259"/>
      <c r="I5" s="259"/>
      <c r="J5" s="259"/>
      <c r="K5" s="133"/>
      <c r="L5" s="133"/>
      <c r="M5" s="133"/>
    </row>
    <row r="6" spans="1:15" x14ac:dyDescent="0.4">
      <c r="A6" s="258"/>
      <c r="B6" s="258"/>
      <c r="C6" s="258"/>
      <c r="D6" s="258"/>
      <c r="E6" s="258"/>
      <c r="F6" s="258"/>
      <c r="G6" s="258"/>
      <c r="H6" s="258"/>
      <c r="I6" s="258"/>
      <c r="J6" s="258"/>
    </row>
    <row r="7" spans="1:15" x14ac:dyDescent="0.4">
      <c r="A7" s="260" t="s">
        <v>321</v>
      </c>
      <c r="B7" s="260"/>
      <c r="C7" s="260"/>
      <c r="D7" s="260"/>
      <c r="E7" s="260"/>
      <c r="F7" s="260"/>
      <c r="G7" s="260"/>
      <c r="H7" s="260"/>
      <c r="I7" s="260"/>
      <c r="J7" s="260"/>
      <c r="K7" s="136"/>
      <c r="L7" s="136"/>
      <c r="M7" s="136"/>
    </row>
    <row r="8" spans="1:15" x14ac:dyDescent="0.4">
      <c r="A8" s="258"/>
      <c r="B8" s="258"/>
      <c r="C8" s="258"/>
      <c r="D8" s="258"/>
      <c r="E8" s="258"/>
      <c r="F8" s="258"/>
      <c r="G8" s="258"/>
      <c r="H8" s="258"/>
      <c r="I8" s="258"/>
      <c r="J8" s="258"/>
    </row>
    <row r="9" spans="1:15" x14ac:dyDescent="0.4">
      <c r="A9" s="259" t="s">
        <v>620</v>
      </c>
      <c r="B9" s="259"/>
      <c r="C9" s="259"/>
      <c r="D9" s="259"/>
      <c r="E9" s="259"/>
      <c r="F9" s="259"/>
      <c r="G9" s="259"/>
      <c r="H9" s="259"/>
      <c r="I9" s="259"/>
      <c r="J9" s="259"/>
      <c r="K9" s="133"/>
      <c r="L9" s="133"/>
      <c r="M9" s="133"/>
    </row>
    <row r="10" spans="1:15" x14ac:dyDescent="0.4">
      <c r="F10" s="133"/>
    </row>
    <row r="11" spans="1:15" x14ac:dyDescent="0.4">
      <c r="B11" s="140" t="s">
        <v>322</v>
      </c>
      <c r="F11" s="133"/>
    </row>
    <row r="12" spans="1:15" x14ac:dyDescent="0.4">
      <c r="F12" s="133"/>
    </row>
    <row r="13" spans="1:15" x14ac:dyDescent="0.4">
      <c r="C13" s="4" t="s">
        <v>323</v>
      </c>
      <c r="D13" s="261" t="s">
        <v>324</v>
      </c>
      <c r="E13" s="261"/>
      <c r="F13" s="261"/>
      <c r="G13" s="261"/>
      <c r="H13" s="261"/>
      <c r="I13" s="261"/>
      <c r="J13" s="261"/>
      <c r="K13" s="137"/>
      <c r="L13" s="137"/>
      <c r="M13" s="137"/>
    </row>
    <row r="14" spans="1:15" x14ac:dyDescent="0.4">
      <c r="C14" s="4" t="s">
        <v>325</v>
      </c>
      <c r="D14" s="261" t="s">
        <v>326</v>
      </c>
      <c r="E14" s="261"/>
      <c r="F14" s="261"/>
      <c r="G14" s="261"/>
      <c r="H14" s="261"/>
      <c r="I14" s="261"/>
      <c r="J14" s="261"/>
      <c r="K14" s="137"/>
      <c r="L14" s="137"/>
      <c r="M14" s="137"/>
    </row>
    <row r="15" spans="1:15" x14ac:dyDescent="0.4">
      <c r="D15" s="258" t="s">
        <v>327</v>
      </c>
      <c r="E15" s="258"/>
      <c r="F15" s="258"/>
      <c r="G15" s="258"/>
      <c r="H15" s="258"/>
      <c r="I15" s="258"/>
      <c r="J15" s="258"/>
    </row>
    <row r="17" spans="2:13" x14ac:dyDescent="0.4">
      <c r="C17" s="133" t="s">
        <v>328</v>
      </c>
      <c r="L17" s="141" t="s">
        <v>329</v>
      </c>
      <c r="M17" s="142"/>
    </row>
    <row r="18" spans="2:13" x14ac:dyDescent="0.4">
      <c r="C18" s="136" t="s">
        <v>221</v>
      </c>
      <c r="E18" s="136" t="s">
        <v>330</v>
      </c>
      <c r="F18" s="133"/>
      <c r="G18" s="136" t="s">
        <v>331</v>
      </c>
      <c r="L18" s="143" t="s">
        <v>332</v>
      </c>
      <c r="M18" s="144">
        <f>DZ_INPUTS!B5</f>
        <v>44621</v>
      </c>
    </row>
    <row r="19" spans="2:13" x14ac:dyDescent="0.4">
      <c r="C19" s="139" t="s">
        <v>621</v>
      </c>
      <c r="D19" s="145"/>
      <c r="E19" s="146">
        <v>122.1</v>
      </c>
      <c r="F19" s="147"/>
      <c r="G19" s="146">
        <v>120.09999999999998</v>
      </c>
      <c r="L19" s="143" t="s">
        <v>333</v>
      </c>
      <c r="M19" s="148">
        <f>C29+1</f>
        <v>44287</v>
      </c>
    </row>
    <row r="20" spans="2:13" x14ac:dyDescent="0.4">
      <c r="C20" s="139" t="s">
        <v>622</v>
      </c>
      <c r="D20" s="145"/>
      <c r="E20" s="146">
        <v>122.5</v>
      </c>
      <c r="F20" s="147"/>
      <c r="G20" s="146">
        <v>121.43333333333332</v>
      </c>
      <c r="L20" s="143" t="s">
        <v>334</v>
      </c>
      <c r="M20" s="149" t="str">
        <f>C30</f>
        <v>6/30/2021</v>
      </c>
    </row>
    <row r="21" spans="2:13" x14ac:dyDescent="0.4">
      <c r="C21" s="139" t="s">
        <v>623</v>
      </c>
      <c r="D21" s="145"/>
      <c r="E21" s="146">
        <v>123.5</v>
      </c>
      <c r="F21" s="147"/>
      <c r="G21" s="146">
        <v>122.23333333333335</v>
      </c>
      <c r="L21" s="143" t="s">
        <v>335</v>
      </c>
      <c r="M21" s="144">
        <f>FLOOR((M19-1+M20)/2,1)</f>
        <v>44331</v>
      </c>
    </row>
    <row r="22" spans="2:13" x14ac:dyDescent="0.4">
      <c r="C22" s="139" t="s">
        <v>624</v>
      </c>
      <c r="D22" s="145"/>
      <c r="E22" s="146">
        <v>124.8</v>
      </c>
      <c r="F22" s="147"/>
      <c r="G22" s="146">
        <v>122.60000000000001</v>
      </c>
      <c r="L22" s="143" t="s">
        <v>336</v>
      </c>
      <c r="M22" s="144">
        <f>DATE(YEAR(M18)+1,MONTH(M18),DAY(M18))</f>
        <v>44986</v>
      </c>
    </row>
    <row r="23" spans="2:13" x14ac:dyDescent="0.4">
      <c r="C23" s="139" t="s">
        <v>625</v>
      </c>
      <c r="D23" s="145"/>
      <c r="E23" s="146">
        <v>125.7</v>
      </c>
      <c r="F23" s="147"/>
      <c r="G23" s="146">
        <v>122.63333333333333</v>
      </c>
      <c r="L23" s="143" t="s">
        <v>337</v>
      </c>
      <c r="M23" s="150">
        <f>ROUND(DAYS360(M21,M22)/30/0.5,0)*0.5</f>
        <v>21.5</v>
      </c>
    </row>
    <row r="24" spans="2:13" x14ac:dyDescent="0.4">
      <c r="C24" s="139" t="s">
        <v>626</v>
      </c>
      <c r="D24" s="145"/>
      <c r="E24" s="146">
        <v>126.8</v>
      </c>
      <c r="F24" s="147"/>
      <c r="G24" s="146">
        <v>123.56666666666666</v>
      </c>
      <c r="L24" s="151" t="s">
        <v>338</v>
      </c>
      <c r="M24" s="152">
        <f>M23/12</f>
        <v>1.7916666666666667</v>
      </c>
    </row>
    <row r="25" spans="2:13" x14ac:dyDescent="0.4">
      <c r="C25" s="139" t="s">
        <v>627</v>
      </c>
      <c r="D25" s="145"/>
      <c r="E25" s="146">
        <v>128.5</v>
      </c>
      <c r="F25" s="147"/>
      <c r="G25" s="146">
        <v>123.7</v>
      </c>
    </row>
    <row r="26" spans="2:13" x14ac:dyDescent="0.4">
      <c r="C26" s="139" t="s">
        <v>628</v>
      </c>
      <c r="D26" s="145"/>
      <c r="E26" s="146">
        <v>129.9</v>
      </c>
      <c r="F26" s="147"/>
      <c r="G26" s="146">
        <v>124.53333333333335</v>
      </c>
      <c r="M26" s="145"/>
    </row>
    <row r="27" spans="2:13" x14ac:dyDescent="0.4">
      <c r="C27" s="139" t="s">
        <v>629</v>
      </c>
      <c r="D27" s="145"/>
      <c r="E27" s="146">
        <v>132.4</v>
      </c>
      <c r="F27" s="147"/>
      <c r="G27" s="146">
        <v>123.93333333333332</v>
      </c>
    </row>
    <row r="28" spans="2:13" x14ac:dyDescent="0.4">
      <c r="C28" s="139" t="s">
        <v>630</v>
      </c>
      <c r="D28" s="145"/>
      <c r="E28" s="146">
        <v>133.9</v>
      </c>
      <c r="F28" s="147"/>
      <c r="G28" s="146">
        <v>124.8</v>
      </c>
    </row>
    <row r="29" spans="2:13" x14ac:dyDescent="0.4">
      <c r="C29" s="139" t="s">
        <v>631</v>
      </c>
      <c r="D29" s="145"/>
      <c r="E29" s="146">
        <v>134.80000000000001</v>
      </c>
      <c r="F29" s="147"/>
      <c r="G29" s="146">
        <v>125.76666666666665</v>
      </c>
    </row>
    <row r="30" spans="2:13" x14ac:dyDescent="0.4">
      <c r="C30" s="139" t="s">
        <v>632</v>
      </c>
      <c r="D30" s="145"/>
      <c r="E30" s="146">
        <v>140.19999999999999</v>
      </c>
      <c r="G30" s="146">
        <v>128.5</v>
      </c>
    </row>
    <row r="32" spans="2:13" x14ac:dyDescent="0.4">
      <c r="B32" s="140" t="s">
        <v>339</v>
      </c>
    </row>
    <row r="33" spans="2:13" x14ac:dyDescent="0.4">
      <c r="F33" s="258" t="s">
        <v>340</v>
      </c>
      <c r="G33" s="258"/>
      <c r="H33" s="258"/>
      <c r="I33" s="258"/>
      <c r="J33" s="258"/>
    </row>
    <row r="34" spans="2:13" x14ac:dyDescent="0.4">
      <c r="B34" s="133" t="s">
        <v>214</v>
      </c>
      <c r="C34" s="262" t="s">
        <v>341</v>
      </c>
      <c r="D34" s="262"/>
      <c r="E34" s="262"/>
      <c r="F34" s="263" t="s">
        <v>633</v>
      </c>
      <c r="G34" s="263"/>
      <c r="H34" s="263"/>
      <c r="I34" s="263"/>
      <c r="J34" s="263"/>
      <c r="K34" s="153"/>
      <c r="L34" s="153"/>
      <c r="M34" s="153"/>
    </row>
    <row r="35" spans="2:13" x14ac:dyDescent="0.4">
      <c r="B35" s="136" t="s">
        <v>342</v>
      </c>
      <c r="D35" s="136" t="s">
        <v>330</v>
      </c>
      <c r="E35" s="136" t="s">
        <v>331</v>
      </c>
      <c r="F35" s="260" t="s">
        <v>343</v>
      </c>
      <c r="G35" s="260"/>
      <c r="I35" s="136" t="s">
        <v>344</v>
      </c>
    </row>
    <row r="37" spans="2:13" x14ac:dyDescent="0.4">
      <c r="B37" s="139" t="s">
        <v>634</v>
      </c>
      <c r="D37" s="146">
        <v>114.1</v>
      </c>
      <c r="E37" s="146">
        <v>116</v>
      </c>
      <c r="F37" s="139" t="str">
        <f>TEXT($E$30,"000.0")&amp;"/"&amp;TEXT(D37,"000.0")&amp;"="</f>
        <v>140.2/114.1=</v>
      </c>
      <c r="G37" s="154">
        <f>ROUND($E$30/D37,3)</f>
        <v>1.2290000000000001</v>
      </c>
      <c r="I37" s="139" t="str">
        <f>TEXT(ROUND(($G$29*0.33+$G$30*0.67),1),"000.0")&amp;"/"&amp;TEXT(E37,"000.0")&amp;"="</f>
        <v>127.6/116.0=</v>
      </c>
      <c r="J37" s="154">
        <f>ROUND(ROUND(($G$29*0.33)+($G$30*0.67),1)/E37,3)</f>
        <v>1.1000000000000001</v>
      </c>
      <c r="K37" s="154"/>
      <c r="L37" s="155"/>
      <c r="M37" s="154"/>
    </row>
    <row r="38" spans="2:13" x14ac:dyDescent="0.4">
      <c r="B38" s="139" t="s">
        <v>635</v>
      </c>
      <c r="D38" s="146">
        <v>117</v>
      </c>
      <c r="E38" s="146">
        <v>117.5</v>
      </c>
      <c r="F38" s="139" t="str">
        <f t="shared" ref="F38:F41" si="0">TEXT($E$30,"000.0")&amp;"/"&amp;TEXT(D38,"000.0")&amp;"="</f>
        <v>140.2/117.0=</v>
      </c>
      <c r="G38" s="154">
        <f t="shared" ref="G38:G41" si="1">ROUND($E$30/D38,3)</f>
        <v>1.198</v>
      </c>
      <c r="I38" s="139" t="str">
        <f t="shared" ref="I38:I41" si="2">TEXT(ROUND(($G$29*0.33+$G$30*0.67),1),"000.0")&amp;"/"&amp;TEXT(E38,"000.0")&amp;"="</f>
        <v>127.6/117.5=</v>
      </c>
      <c r="J38" s="154">
        <f t="shared" ref="J38:J41" si="3">ROUND(ROUND(($G$29*0.33)+($G$30*0.67),1)/E38,3)</f>
        <v>1.0860000000000001</v>
      </c>
      <c r="K38" s="154"/>
      <c r="L38" s="154"/>
      <c r="M38" s="154"/>
    </row>
    <row r="39" spans="2:13" x14ac:dyDescent="0.4">
      <c r="B39" s="139" t="s">
        <v>621</v>
      </c>
      <c r="D39" s="146">
        <v>120.7</v>
      </c>
      <c r="E39" s="146">
        <v>119.6</v>
      </c>
      <c r="F39" s="139" t="str">
        <f t="shared" si="0"/>
        <v>140.2/120.7=</v>
      </c>
      <c r="G39" s="154">
        <f t="shared" si="1"/>
        <v>1.1619999999999999</v>
      </c>
      <c r="I39" s="139" t="str">
        <f t="shared" si="2"/>
        <v>127.6/119.6=</v>
      </c>
      <c r="J39" s="154">
        <f t="shared" si="3"/>
        <v>1.0669999999999999</v>
      </c>
      <c r="K39" s="154"/>
      <c r="L39" s="154"/>
      <c r="M39" s="154"/>
    </row>
    <row r="40" spans="2:13" x14ac:dyDescent="0.4">
      <c r="B40" s="139" t="s">
        <v>625</v>
      </c>
      <c r="D40" s="146">
        <v>124.1</v>
      </c>
      <c r="E40" s="146">
        <v>122.2</v>
      </c>
      <c r="F40" s="139" t="str">
        <f t="shared" si="0"/>
        <v>140.2/124.1=</v>
      </c>
      <c r="G40" s="154">
        <f t="shared" si="1"/>
        <v>1.1299999999999999</v>
      </c>
      <c r="I40" s="139" t="str">
        <f t="shared" si="2"/>
        <v>127.6/122.2=</v>
      </c>
      <c r="J40" s="154">
        <f t="shared" si="3"/>
        <v>1.044</v>
      </c>
      <c r="K40" s="154"/>
      <c r="L40" s="154"/>
      <c r="M40" s="154"/>
    </row>
    <row r="41" spans="2:13" x14ac:dyDescent="0.4">
      <c r="B41" s="139" t="s">
        <v>629</v>
      </c>
      <c r="D41" s="146">
        <v>129.4</v>
      </c>
      <c r="E41" s="146">
        <v>123.9</v>
      </c>
      <c r="F41" s="139" t="str">
        <f t="shared" si="0"/>
        <v>140.2/129.4=</v>
      </c>
      <c r="G41" s="154">
        <f t="shared" si="1"/>
        <v>1.083</v>
      </c>
      <c r="I41" s="139" t="str">
        <f t="shared" si="2"/>
        <v>127.6/123.9=</v>
      </c>
      <c r="J41" s="154">
        <f t="shared" si="3"/>
        <v>1.03</v>
      </c>
      <c r="K41" s="154"/>
      <c r="L41" s="154"/>
      <c r="M41" s="154"/>
    </row>
    <row r="43" spans="2:13" x14ac:dyDescent="0.4">
      <c r="B43" s="137" t="s">
        <v>345</v>
      </c>
    </row>
    <row r="44" spans="2:13" x14ac:dyDescent="0.4">
      <c r="B44" s="137" t="s">
        <v>346</v>
      </c>
    </row>
    <row r="45" spans="2:13" x14ac:dyDescent="0.4">
      <c r="B45" s="137"/>
    </row>
    <row r="46" spans="2:13" x14ac:dyDescent="0.4">
      <c r="B46" s="140" t="s">
        <v>347</v>
      </c>
    </row>
    <row r="48" spans="2:13" x14ac:dyDescent="0.4">
      <c r="B48" s="137"/>
      <c r="E48" s="136" t="s">
        <v>138</v>
      </c>
      <c r="G48" s="136" t="s">
        <v>139</v>
      </c>
    </row>
    <row r="49" spans="2:10" x14ac:dyDescent="0.4">
      <c r="B49" s="4" t="s">
        <v>348</v>
      </c>
      <c r="E49" s="156">
        <v>4.8000000000000001E-2</v>
      </c>
      <c r="F49" s="157"/>
      <c r="G49" s="156">
        <v>1.84E-2</v>
      </c>
    </row>
    <row r="50" spans="2:10" x14ac:dyDescent="0.4">
      <c r="B50" s="4" t="s">
        <v>311</v>
      </c>
      <c r="E50" s="72">
        <f>ROUND((1+E49)^$M$24,3)</f>
        <v>1.0880000000000001</v>
      </c>
      <c r="F50" s="158"/>
      <c r="G50" s="72">
        <f>ROUND((1+G49)^$M$24,3)</f>
        <v>1.0329999999999999</v>
      </c>
    </row>
    <row r="52" spans="2:10" x14ac:dyDescent="0.4">
      <c r="B52" s="258" t="str">
        <f>"**To project losses from the midpoint of the latest quarter, "&amp;TEXT(M21,"m/dd/yyyy")&amp;", to the average"</f>
        <v>**To project losses from the midpoint of the latest quarter, 5/15/2021, to the average</v>
      </c>
      <c r="C52" s="258"/>
      <c r="D52" s="258"/>
      <c r="E52" s="258"/>
      <c r="F52" s="258"/>
      <c r="G52" s="258"/>
      <c r="H52" s="258"/>
      <c r="I52" s="258"/>
      <c r="J52" s="258"/>
    </row>
    <row r="53" spans="2:10" x14ac:dyDescent="0.4">
      <c r="B53" s="258" t="str">
        <f>"     accident date of "&amp;TEXT(M22,"m/d/yyyy")&amp;".   ("&amp;M23&amp;"/12)"</f>
        <v xml:space="preserve">     accident date of 3/1/2023.   (21.5/12)</v>
      </c>
      <c r="C53" s="258"/>
      <c r="D53" s="258"/>
      <c r="E53" s="258"/>
      <c r="F53" s="258"/>
      <c r="G53" s="258"/>
      <c r="H53" s="258"/>
    </row>
  </sheetData>
  <mergeCells count="18">
    <mergeCell ref="B53:H53"/>
    <mergeCell ref="A7:J7"/>
    <mergeCell ref="A8:J8"/>
    <mergeCell ref="A9:J9"/>
    <mergeCell ref="D13:J13"/>
    <mergeCell ref="D14:J14"/>
    <mergeCell ref="D15:J15"/>
    <mergeCell ref="F33:J33"/>
    <mergeCell ref="C34:E34"/>
    <mergeCell ref="F34:J34"/>
    <mergeCell ref="F35:G35"/>
    <mergeCell ref="B52:J52"/>
    <mergeCell ref="A6:J6"/>
    <mergeCell ref="A1:J1"/>
    <mergeCell ref="A2:J2"/>
    <mergeCell ref="A3:J3"/>
    <mergeCell ref="A4:J4"/>
    <mergeCell ref="A5:J5"/>
  </mergeCells>
  <printOptions horizontalCentered="1"/>
  <pageMargins left="0.2" right="0.2" top="0.25" bottom="0.25" header="0.3" footer="0.3"/>
  <pageSetup firstPageNumber="0" orientation="portrait" useFirstPageNumber="1" r:id="rId1"/>
  <headerFooter>
    <oddHeader>&amp;L&amp;"Times New Roman"&amp;9INSURANCE SERVICES OFFICE, INC.</oddHeader>
    <oddFooter>&amp;C&amp;"Times New Roman"&amp;9© Insurance Services Office, Inc., 2022        		OREGON        BP-2021-RLA1&amp;R&amp;"Times New Roman"&amp;9&amp;A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BA4BB-E596-4677-BEB4-CB35059D050F}">
  <dimension ref="A1:X53"/>
  <sheetViews>
    <sheetView zoomScaleNormal="100" workbookViewId="0">
      <selection sqref="A1:I1"/>
    </sheetView>
  </sheetViews>
  <sheetFormatPr defaultColWidth="9.1328125" defaultRowHeight="13.15" x14ac:dyDescent="0.4"/>
  <cols>
    <col min="1" max="1" width="5.265625" style="4" customWidth="1"/>
    <col min="2" max="2" width="9.1328125" style="4"/>
    <col min="3" max="3" width="10.3984375" style="4" customWidth="1"/>
    <col min="4" max="4" width="11.59765625" style="4" customWidth="1"/>
    <col min="5" max="5" width="10.86328125" style="4" customWidth="1"/>
    <col min="6" max="6" width="2.86328125" style="4" customWidth="1"/>
    <col min="7" max="7" width="12.59765625" style="4" customWidth="1"/>
    <col min="8" max="8" width="7.265625" style="4" customWidth="1"/>
    <col min="9" max="9" width="12.1328125" style="4" customWidth="1"/>
    <col min="10" max="10" width="14.73046875" style="4" customWidth="1"/>
    <col min="11" max="11" width="8.1328125" style="4" customWidth="1"/>
    <col min="12" max="20" width="9.1328125" style="4"/>
    <col min="21" max="21" width="6.1328125" style="4" customWidth="1"/>
    <col min="22" max="22" width="38" style="4" customWidth="1"/>
    <col min="23" max="16384" width="9.1328125" style="4"/>
  </cols>
  <sheetData>
    <row r="1" spans="1:24" x14ac:dyDescent="0.4">
      <c r="A1" s="259" t="str">
        <f>UPPER(state)</f>
        <v>OREGON</v>
      </c>
      <c r="B1" s="259"/>
      <c r="C1" s="259"/>
      <c r="D1" s="259"/>
      <c r="E1" s="259"/>
      <c r="F1" s="259"/>
      <c r="G1" s="259"/>
      <c r="H1" s="259"/>
      <c r="I1" s="259"/>
      <c r="J1" s="259" t="str">
        <f>UPPER(state)</f>
        <v>OREGON</v>
      </c>
      <c r="K1" s="259"/>
      <c r="L1" s="259"/>
      <c r="M1" s="259"/>
      <c r="N1" s="259"/>
      <c r="O1" s="259"/>
      <c r="P1" s="259"/>
      <c r="Q1" s="259"/>
      <c r="R1" s="259"/>
      <c r="S1" s="259"/>
    </row>
    <row r="2" spans="1:24" x14ac:dyDescent="0.4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</row>
    <row r="3" spans="1:24" x14ac:dyDescent="0.4">
      <c r="A3" s="259" t="s">
        <v>153</v>
      </c>
      <c r="B3" s="259"/>
      <c r="C3" s="259"/>
      <c r="D3" s="259"/>
      <c r="E3" s="259"/>
      <c r="F3" s="259"/>
      <c r="G3" s="259"/>
      <c r="H3" s="259"/>
      <c r="I3" s="259"/>
      <c r="J3" s="259" t="s">
        <v>153</v>
      </c>
      <c r="K3" s="259"/>
      <c r="L3" s="259"/>
      <c r="M3" s="259"/>
      <c r="N3" s="259"/>
      <c r="O3" s="259"/>
      <c r="P3" s="259"/>
      <c r="Q3" s="259"/>
      <c r="R3" s="259"/>
      <c r="S3" s="259"/>
    </row>
    <row r="4" spans="1:24" x14ac:dyDescent="0.4">
      <c r="A4" s="258"/>
      <c r="B4" s="258"/>
      <c r="C4" s="258"/>
      <c r="D4" s="258"/>
      <c r="E4" s="258"/>
      <c r="F4" s="258"/>
      <c r="G4" s="258"/>
      <c r="H4" s="258"/>
      <c r="I4" s="258"/>
      <c r="J4" s="258"/>
      <c r="K4" s="258"/>
      <c r="L4" s="258"/>
      <c r="M4" s="258"/>
      <c r="N4" s="258"/>
      <c r="O4" s="258"/>
      <c r="P4" s="258"/>
      <c r="Q4" s="258"/>
      <c r="R4" s="258"/>
      <c r="S4" s="258"/>
    </row>
    <row r="5" spans="1:24" x14ac:dyDescent="0.4">
      <c r="A5" s="259" t="s">
        <v>349</v>
      </c>
      <c r="B5" s="259"/>
      <c r="C5" s="259"/>
      <c r="D5" s="259"/>
      <c r="E5" s="259"/>
      <c r="F5" s="259"/>
      <c r="G5" s="259"/>
      <c r="H5" s="259"/>
      <c r="I5" s="259"/>
      <c r="J5" s="259" t="s">
        <v>350</v>
      </c>
      <c r="K5" s="259"/>
      <c r="L5" s="259"/>
      <c r="M5" s="259"/>
      <c r="N5" s="259"/>
      <c r="O5" s="259"/>
      <c r="P5" s="259"/>
      <c r="Q5" s="259"/>
      <c r="R5" s="259"/>
      <c r="S5" s="259"/>
    </row>
    <row r="6" spans="1:24" x14ac:dyDescent="0.4">
      <c r="A6" s="258"/>
      <c r="B6" s="258"/>
      <c r="C6" s="258"/>
      <c r="D6" s="258"/>
      <c r="E6" s="258"/>
      <c r="F6" s="258"/>
      <c r="G6" s="258"/>
      <c r="H6" s="258"/>
      <c r="I6" s="258"/>
      <c r="J6" s="258"/>
      <c r="K6" s="258"/>
      <c r="L6" s="258"/>
      <c r="M6" s="258"/>
      <c r="N6" s="258"/>
      <c r="O6" s="258"/>
      <c r="P6" s="258"/>
      <c r="Q6" s="258"/>
      <c r="R6" s="258"/>
      <c r="S6" s="258"/>
    </row>
    <row r="7" spans="1:24" x14ac:dyDescent="0.4">
      <c r="A7" s="259" t="s">
        <v>351</v>
      </c>
      <c r="B7" s="259"/>
      <c r="C7" s="259"/>
      <c r="D7" s="259"/>
      <c r="E7" s="259"/>
      <c r="F7" s="259"/>
      <c r="G7" s="259"/>
      <c r="H7" s="259"/>
      <c r="I7" s="259"/>
      <c r="J7" s="259" t="s">
        <v>351</v>
      </c>
      <c r="K7" s="259"/>
      <c r="L7" s="259"/>
      <c r="M7" s="259"/>
      <c r="N7" s="259"/>
      <c r="O7" s="259"/>
      <c r="P7" s="259"/>
      <c r="Q7" s="259"/>
      <c r="R7" s="259"/>
      <c r="S7" s="259"/>
    </row>
    <row r="8" spans="1:24" x14ac:dyDescent="0.4">
      <c r="A8" s="259" t="s">
        <v>352</v>
      </c>
      <c r="B8" s="259"/>
      <c r="C8" s="259"/>
      <c r="D8" s="259"/>
      <c r="E8" s="259"/>
      <c r="F8" s="259"/>
      <c r="G8" s="259"/>
      <c r="H8" s="259"/>
      <c r="I8" s="259"/>
      <c r="J8" s="259" t="s">
        <v>352</v>
      </c>
      <c r="K8" s="259"/>
      <c r="L8" s="259"/>
      <c r="M8" s="259"/>
      <c r="N8" s="259"/>
      <c r="O8" s="259"/>
      <c r="P8" s="259"/>
      <c r="Q8" s="259"/>
      <c r="R8" s="259"/>
      <c r="S8" s="259"/>
    </row>
    <row r="9" spans="1:24" x14ac:dyDescent="0.4">
      <c r="E9" s="133"/>
      <c r="F9" s="133"/>
      <c r="O9" s="133"/>
      <c r="P9" s="72"/>
    </row>
    <row r="10" spans="1:24" x14ac:dyDescent="0.4">
      <c r="O10" s="133"/>
      <c r="P10" s="72"/>
    </row>
    <row r="11" spans="1:24" x14ac:dyDescent="0.4">
      <c r="A11" s="264" t="s">
        <v>353</v>
      </c>
      <c r="B11" s="264"/>
      <c r="C11" s="264"/>
      <c r="D11" s="264"/>
      <c r="O11" s="133"/>
      <c r="P11" s="72"/>
    </row>
    <row r="12" spans="1:24" x14ac:dyDescent="0.4">
      <c r="G12" s="133" t="s">
        <v>354</v>
      </c>
      <c r="H12" s="133"/>
      <c r="I12" s="133" t="s">
        <v>355</v>
      </c>
      <c r="P12" s="72"/>
    </row>
    <row r="13" spans="1:24" x14ac:dyDescent="0.4">
      <c r="K13" s="264" t="s">
        <v>356</v>
      </c>
      <c r="L13" s="264"/>
      <c r="M13" s="264"/>
      <c r="N13" s="264"/>
      <c r="P13" s="72"/>
      <c r="V13" s="141" t="s">
        <v>357</v>
      </c>
      <c r="W13" s="141"/>
    </row>
    <row r="14" spans="1:24" x14ac:dyDescent="0.4">
      <c r="D14" s="132" t="s">
        <v>206</v>
      </c>
      <c r="E14" s="133"/>
      <c r="F14" s="133"/>
      <c r="G14" s="132" t="s">
        <v>358</v>
      </c>
      <c r="H14" s="133"/>
      <c r="I14" s="132" t="s">
        <v>359</v>
      </c>
      <c r="V14" s="143" t="s">
        <v>332</v>
      </c>
      <c r="W14" s="144" t="s">
        <v>636</v>
      </c>
      <c r="X14" s="158"/>
    </row>
    <row r="15" spans="1:24" x14ac:dyDescent="0.4">
      <c r="C15" s="259" t="s">
        <v>360</v>
      </c>
      <c r="D15" s="259"/>
      <c r="E15" s="259"/>
      <c r="F15" s="133"/>
      <c r="G15" s="133" t="s">
        <v>361</v>
      </c>
      <c r="I15" s="133" t="s">
        <v>361</v>
      </c>
      <c r="V15" s="143" t="s">
        <v>362</v>
      </c>
      <c r="W15" s="144" t="s">
        <v>637</v>
      </c>
    </row>
    <row r="16" spans="1:24" x14ac:dyDescent="0.4">
      <c r="B16" s="4" t="s">
        <v>109</v>
      </c>
      <c r="D16" s="133" t="s">
        <v>226</v>
      </c>
      <c r="G16" s="136" t="s">
        <v>363</v>
      </c>
      <c r="I16" s="136" t="s">
        <v>363</v>
      </c>
      <c r="M16" s="132" t="s">
        <v>234</v>
      </c>
      <c r="N16" s="132" t="s">
        <v>236</v>
      </c>
      <c r="O16" s="132" t="s">
        <v>238</v>
      </c>
      <c r="P16" s="132" t="s">
        <v>251</v>
      </c>
      <c r="Q16" s="132" t="s">
        <v>364</v>
      </c>
      <c r="R16" s="132" t="s">
        <v>365</v>
      </c>
      <c r="V16" s="143" t="s">
        <v>335</v>
      </c>
      <c r="W16" s="144">
        <v>44150</v>
      </c>
    </row>
    <row r="17" spans="1:24" x14ac:dyDescent="0.4">
      <c r="B17" s="4">
        <v>2016</v>
      </c>
      <c r="D17" s="159">
        <v>0.1</v>
      </c>
      <c r="G17" s="67">
        <v>1.1830000000000001</v>
      </c>
      <c r="H17" s="160"/>
      <c r="I17" s="67">
        <v>1.077</v>
      </c>
      <c r="O17" s="133" t="s">
        <v>198</v>
      </c>
      <c r="P17" s="133"/>
      <c r="Q17" s="133"/>
      <c r="R17" s="133"/>
      <c r="V17" s="143" t="s">
        <v>336</v>
      </c>
      <c r="W17" s="144">
        <f>DATE(YEAR(W14)+1,MONTH(W14),DAY(W14))</f>
        <v>44805</v>
      </c>
    </row>
    <row r="18" spans="1:24" x14ac:dyDescent="0.4">
      <c r="B18" s="4">
        <v>2017</v>
      </c>
      <c r="D18" s="159">
        <v>0.15</v>
      </c>
      <c r="G18" s="67">
        <v>1.1619999999999999</v>
      </c>
      <c r="H18" s="160"/>
      <c r="I18" s="67">
        <v>1.07</v>
      </c>
      <c r="O18" s="133" t="s">
        <v>366</v>
      </c>
      <c r="P18" s="133" t="s">
        <v>367</v>
      </c>
      <c r="Q18" s="133"/>
      <c r="R18" s="133" t="s">
        <v>368</v>
      </c>
      <c r="V18" s="143" t="s">
        <v>369</v>
      </c>
      <c r="W18" s="144">
        <f>DATE(((B21-B17)/2)+B17,MONTH(W17)+1-6,1)</f>
        <v>43191</v>
      </c>
      <c r="X18" s="158"/>
    </row>
    <row r="19" spans="1:24" x14ac:dyDescent="0.4">
      <c r="B19" s="4">
        <v>2018</v>
      </c>
      <c r="D19" s="159">
        <v>0.2</v>
      </c>
      <c r="G19" s="67">
        <v>1.1259999999999999</v>
      </c>
      <c r="H19" s="160"/>
      <c r="I19" s="67">
        <v>1.0509999999999999</v>
      </c>
      <c r="M19" s="133" t="s">
        <v>370</v>
      </c>
      <c r="N19" s="133" t="s">
        <v>370</v>
      </c>
      <c r="O19" s="133" t="s">
        <v>371</v>
      </c>
      <c r="P19" s="133" t="s">
        <v>366</v>
      </c>
      <c r="Q19" s="133" t="s">
        <v>372</v>
      </c>
      <c r="R19" s="133" t="s">
        <v>371</v>
      </c>
      <c r="V19" s="143" t="s">
        <v>373</v>
      </c>
      <c r="W19" s="143"/>
    </row>
    <row r="20" spans="1:24" x14ac:dyDescent="0.4">
      <c r="B20" s="4">
        <v>2019</v>
      </c>
      <c r="D20" s="159">
        <v>0.25</v>
      </c>
      <c r="G20" s="67">
        <v>1.095</v>
      </c>
      <c r="H20" s="160"/>
      <c r="I20" s="67">
        <v>1.0309999999999999</v>
      </c>
      <c r="M20" s="136" t="s">
        <v>374</v>
      </c>
      <c r="N20" s="136" t="s">
        <v>375</v>
      </c>
      <c r="O20" s="135" t="s">
        <v>376</v>
      </c>
      <c r="P20" s="136" t="s">
        <v>377</v>
      </c>
      <c r="Q20" s="136" t="s">
        <v>378</v>
      </c>
      <c r="R20" s="135" t="s">
        <v>379</v>
      </c>
      <c r="V20" s="143" t="s">
        <v>380</v>
      </c>
      <c r="W20" s="143">
        <f>ROUND(DAYS360(W16,W17)/30/0.5,0)*0.5</f>
        <v>21.5</v>
      </c>
    </row>
    <row r="21" spans="1:24" x14ac:dyDescent="0.4">
      <c r="B21" s="4">
        <v>2020</v>
      </c>
      <c r="D21" s="159">
        <v>0.3</v>
      </c>
      <c r="G21" s="67">
        <v>1.0580000000000001</v>
      </c>
      <c r="H21" s="160"/>
      <c r="I21" s="67">
        <v>1.0129999999999999</v>
      </c>
      <c r="M21" s="134"/>
      <c r="N21" s="134"/>
      <c r="O21" s="135"/>
      <c r="P21" s="136"/>
      <c r="Q21" s="136"/>
      <c r="R21" s="135"/>
      <c r="V21" s="143" t="s">
        <v>381</v>
      </c>
      <c r="W21" s="143"/>
    </row>
    <row r="22" spans="1:24" x14ac:dyDescent="0.4">
      <c r="K22" s="258" t="s">
        <v>354</v>
      </c>
      <c r="L22" s="258"/>
      <c r="O22" s="137"/>
      <c r="R22" s="137"/>
      <c r="V22" s="151" t="s">
        <v>382</v>
      </c>
      <c r="W22" s="161">
        <f>ROUND(DAYS360(W18,W17)/30/0.5,0)*0.5</f>
        <v>53</v>
      </c>
    </row>
    <row r="23" spans="1:24" x14ac:dyDescent="0.4">
      <c r="A23" s="137" t="s">
        <v>208</v>
      </c>
      <c r="B23" s="258" t="s">
        <v>383</v>
      </c>
      <c r="C23" s="258"/>
      <c r="D23" s="258"/>
      <c r="E23" s="258"/>
      <c r="G23" s="133">
        <f>ROUND(SUMPRODUCT(G17:G21,D17:D21),3)</f>
        <v>1.109</v>
      </c>
      <c r="H23" s="133"/>
      <c r="I23" s="72">
        <f>ROUND(SUMPRODUCT(I17:I21,D17:D21),3)</f>
        <v>1.04</v>
      </c>
      <c r="L23" s="4" t="s">
        <v>134</v>
      </c>
      <c r="M23" s="72">
        <f>G32</f>
        <v>1.04</v>
      </c>
      <c r="N23" s="72">
        <f>G42</f>
        <v>1.08</v>
      </c>
      <c r="O23" s="133">
        <f>ROUND(N23/M23,3)</f>
        <v>1.038</v>
      </c>
      <c r="P23" s="133">
        <f>ROUND((O23-1)*(2/3)+1,3)</f>
        <v>1.0249999999999999</v>
      </c>
      <c r="Q23" s="72">
        <f>1+'EXHIBIT C4-1'!E45</f>
        <v>0.94</v>
      </c>
      <c r="R23" s="72">
        <f>ROUND(P23*Q23,3)</f>
        <v>0.96399999999999997</v>
      </c>
    </row>
    <row r="24" spans="1:24" x14ac:dyDescent="0.4">
      <c r="B24" s="258"/>
      <c r="C24" s="258"/>
      <c r="D24" s="258"/>
      <c r="E24" s="258"/>
      <c r="L24" s="4" t="s">
        <v>135</v>
      </c>
      <c r="M24" s="72">
        <f>M23</f>
        <v>1.04</v>
      </c>
      <c r="N24" s="72">
        <f>G43</f>
        <v>1.1000000000000001</v>
      </c>
      <c r="O24" s="133">
        <f t="shared" ref="O24:O25" si="0">ROUND(N24/M24,3)</f>
        <v>1.0580000000000001</v>
      </c>
      <c r="P24" s="133">
        <f t="shared" ref="P24:P25" si="1">ROUND((O24-1)*(2/3)+1,3)</f>
        <v>1.0389999999999999</v>
      </c>
      <c r="Q24" s="72">
        <v>1</v>
      </c>
      <c r="R24" s="72">
        <f t="shared" ref="R24:R25" si="2">ROUND(P24*Q24,3)</f>
        <v>1.0389999999999999</v>
      </c>
    </row>
    <row r="25" spans="1:24" x14ac:dyDescent="0.4">
      <c r="A25" s="137" t="s">
        <v>384</v>
      </c>
      <c r="B25" s="258" t="s">
        <v>348</v>
      </c>
      <c r="C25" s="258"/>
      <c r="D25" s="258"/>
      <c r="E25" s="258"/>
      <c r="G25" s="162">
        <v>3.9E-2</v>
      </c>
      <c r="H25" s="133"/>
      <c r="I25" s="162">
        <v>1.67E-2</v>
      </c>
      <c r="L25" s="4" t="s">
        <v>136</v>
      </c>
      <c r="M25" s="72">
        <f>M24</f>
        <v>1.04</v>
      </c>
      <c r="N25" s="72">
        <f>G44</f>
        <v>1.06</v>
      </c>
      <c r="O25" s="133">
        <f t="shared" si="0"/>
        <v>1.0189999999999999</v>
      </c>
      <c r="P25" s="133">
        <f t="shared" si="1"/>
        <v>1.0129999999999999</v>
      </c>
      <c r="Q25" s="72">
        <v>1</v>
      </c>
      <c r="R25" s="72">
        <f t="shared" si="2"/>
        <v>1.0129999999999999</v>
      </c>
    </row>
    <row r="26" spans="1:24" x14ac:dyDescent="0.4">
      <c r="A26" s="137" t="s">
        <v>385</v>
      </c>
      <c r="B26" s="258" t="s">
        <v>386</v>
      </c>
      <c r="C26" s="258"/>
      <c r="D26" s="258"/>
      <c r="E26" s="258"/>
      <c r="G26" s="163">
        <f>W20</f>
        <v>21.5</v>
      </c>
      <c r="H26" s="133"/>
      <c r="I26" s="163">
        <f>W20</f>
        <v>21.5</v>
      </c>
      <c r="M26" s="133"/>
      <c r="N26" s="133"/>
      <c r="O26" s="133"/>
      <c r="P26" s="133"/>
      <c r="Q26" s="72"/>
      <c r="R26" s="72"/>
    </row>
    <row r="27" spans="1:24" x14ac:dyDescent="0.4">
      <c r="A27" s="137" t="s">
        <v>387</v>
      </c>
      <c r="B27" s="258" t="s">
        <v>388</v>
      </c>
      <c r="C27" s="258"/>
      <c r="D27" s="258"/>
      <c r="E27" s="258"/>
      <c r="G27" s="133">
        <f>ROUND((1+G25)^(G26/12),3)</f>
        <v>1.071</v>
      </c>
      <c r="I27" s="72">
        <f>ROUND((1+I25)^(I26/12),3)</f>
        <v>1.03</v>
      </c>
      <c r="K27" s="258" t="s">
        <v>355</v>
      </c>
      <c r="L27" s="258"/>
      <c r="M27" s="133"/>
      <c r="N27" s="133"/>
      <c r="O27" s="133"/>
      <c r="P27" s="133"/>
      <c r="Q27" s="72"/>
      <c r="R27" s="72"/>
    </row>
    <row r="28" spans="1:24" x14ac:dyDescent="0.4">
      <c r="B28" s="261" t="s">
        <v>389</v>
      </c>
      <c r="C28" s="261"/>
      <c r="D28" s="261"/>
      <c r="E28" s="261"/>
      <c r="F28" s="137"/>
      <c r="G28" s="133"/>
      <c r="H28" s="133"/>
      <c r="I28" s="133"/>
      <c r="L28" s="4" t="s">
        <v>134</v>
      </c>
      <c r="M28" s="133">
        <f>I32</f>
        <v>1.016</v>
      </c>
      <c r="N28" s="72">
        <f>I42</f>
        <v>1.0900000000000001</v>
      </c>
      <c r="O28" s="133">
        <f>ROUND(N28/M28,3)</f>
        <v>1.073</v>
      </c>
      <c r="P28" s="133">
        <f>ROUND((O28-1)*(2/3)+1,3)</f>
        <v>1.0489999999999999</v>
      </c>
      <c r="Q28" s="72">
        <f>1+'EXHIBIT C4-2'!E45</f>
        <v>0.92</v>
      </c>
      <c r="R28" s="72">
        <f>ROUND(P28*Q28,3)</f>
        <v>0.96499999999999997</v>
      </c>
    </row>
    <row r="29" spans="1:24" x14ac:dyDescent="0.4">
      <c r="L29" s="4" t="s">
        <v>135</v>
      </c>
      <c r="M29" s="133">
        <f>M28</f>
        <v>1.016</v>
      </c>
      <c r="N29" s="72">
        <f>I43</f>
        <v>1.06</v>
      </c>
      <c r="O29" s="133">
        <f t="shared" ref="O29:O30" si="3">ROUND(N29/M29,3)</f>
        <v>1.0429999999999999</v>
      </c>
      <c r="P29" s="133">
        <f t="shared" ref="P29:P30" si="4">ROUND((O29-1)*(2/3)+1,3)</f>
        <v>1.0289999999999999</v>
      </c>
      <c r="Q29" s="72">
        <v>1</v>
      </c>
      <c r="R29" s="72">
        <f t="shared" ref="R29:R30" si="5">ROUND(P29*Q29,3)</f>
        <v>1.0289999999999999</v>
      </c>
    </row>
    <row r="30" spans="1:24" x14ac:dyDescent="0.4">
      <c r="A30" s="137" t="s">
        <v>390</v>
      </c>
      <c r="B30" s="258" t="s">
        <v>391</v>
      </c>
      <c r="C30" s="258"/>
      <c r="D30" s="258"/>
      <c r="E30" s="258"/>
      <c r="G30" s="133">
        <f>ROUND(G23*G27,3)</f>
        <v>1.1879999999999999</v>
      </c>
      <c r="I30" s="133">
        <f>ROUND(I23*I27,3)</f>
        <v>1.071</v>
      </c>
      <c r="L30" s="4" t="s">
        <v>136</v>
      </c>
      <c r="M30" s="133">
        <f>M29</f>
        <v>1.016</v>
      </c>
      <c r="N30" s="72">
        <f>I44</f>
        <v>1.0649999999999999</v>
      </c>
      <c r="O30" s="133">
        <f t="shared" si="3"/>
        <v>1.048</v>
      </c>
      <c r="P30" s="133">
        <f t="shared" si="4"/>
        <v>1.032</v>
      </c>
      <c r="Q30" s="72">
        <v>1</v>
      </c>
      <c r="R30" s="72">
        <f t="shared" si="5"/>
        <v>1.032</v>
      </c>
    </row>
    <row r="31" spans="1:24" x14ac:dyDescent="0.4">
      <c r="A31" s="137" t="s">
        <v>392</v>
      </c>
      <c r="B31" s="258" t="s">
        <v>393</v>
      </c>
      <c r="C31" s="258"/>
      <c r="D31" s="258"/>
      <c r="E31" s="258"/>
      <c r="G31" s="163">
        <f>W22</f>
        <v>53</v>
      </c>
      <c r="H31" s="133"/>
      <c r="I31" s="163">
        <f>W22</f>
        <v>53</v>
      </c>
    </row>
    <row r="32" spans="1:24" x14ac:dyDescent="0.4">
      <c r="A32" s="137" t="s">
        <v>394</v>
      </c>
      <c r="B32" s="258" t="s">
        <v>395</v>
      </c>
      <c r="C32" s="258"/>
      <c r="D32" s="258"/>
      <c r="E32" s="258"/>
      <c r="F32" s="258"/>
      <c r="G32" s="72">
        <f>ROUND(G30^(12/G31),3)</f>
        <v>1.04</v>
      </c>
      <c r="H32" s="133"/>
      <c r="I32" s="133">
        <f>ROUND(I30^(12/I31),3)</f>
        <v>1.016</v>
      </c>
    </row>
    <row r="33" spans="1:12" x14ac:dyDescent="0.4">
      <c r="B33" s="261" t="s">
        <v>396</v>
      </c>
      <c r="C33" s="261"/>
      <c r="D33" s="261"/>
      <c r="E33" s="261"/>
      <c r="F33" s="137"/>
    </row>
    <row r="36" spans="1:12" x14ac:dyDescent="0.4">
      <c r="A36" s="264" t="s">
        <v>397</v>
      </c>
      <c r="B36" s="264"/>
      <c r="C36" s="264"/>
      <c r="D36" s="264"/>
      <c r="E36" s="264"/>
      <c r="F36" s="264"/>
      <c r="G36" s="264"/>
      <c r="K36" s="138" t="s">
        <v>398</v>
      </c>
      <c r="L36" s="4" t="s">
        <v>399</v>
      </c>
    </row>
    <row r="37" spans="1:12" x14ac:dyDescent="0.4">
      <c r="A37" s="131"/>
      <c r="H37" s="132" t="s">
        <v>232</v>
      </c>
      <c r="L37" s="4" t="s">
        <v>400</v>
      </c>
    </row>
    <row r="38" spans="1:12" x14ac:dyDescent="0.4">
      <c r="A38" s="131"/>
      <c r="G38" s="265" t="s">
        <v>401</v>
      </c>
      <c r="H38" s="265"/>
      <c r="I38" s="265"/>
      <c r="L38" s="4" t="s">
        <v>402</v>
      </c>
    </row>
    <row r="39" spans="1:12" x14ac:dyDescent="0.4">
      <c r="A39" s="131"/>
      <c r="H39" s="135"/>
    </row>
    <row r="40" spans="1:12" x14ac:dyDescent="0.4">
      <c r="G40" s="133" t="s">
        <v>354</v>
      </c>
      <c r="H40" s="133"/>
      <c r="I40" s="133" t="s">
        <v>355</v>
      </c>
    </row>
    <row r="42" spans="1:12" x14ac:dyDescent="0.4">
      <c r="D42" s="4" t="s">
        <v>134</v>
      </c>
      <c r="G42" s="72">
        <f>1+'EXHIBIT C4-1'!D45</f>
        <v>1.08</v>
      </c>
      <c r="I42" s="72">
        <f>1+'EXHIBIT C4-2'!D45</f>
        <v>1.0900000000000001</v>
      </c>
    </row>
    <row r="43" spans="1:12" x14ac:dyDescent="0.4">
      <c r="D43" s="4" t="s">
        <v>135</v>
      </c>
      <c r="G43" s="72">
        <f>1+'EXHIBIT C4-3'!D43</f>
        <v>1.1000000000000001</v>
      </c>
      <c r="I43" s="72">
        <f>1+'EXHIBIT C4-4'!D43</f>
        <v>1.06</v>
      </c>
    </row>
    <row r="44" spans="1:12" x14ac:dyDescent="0.4">
      <c r="D44" s="4" t="s">
        <v>136</v>
      </c>
      <c r="G44" s="72">
        <f>1+'EXHIBIT C4-5'!D43</f>
        <v>1.06</v>
      </c>
      <c r="I44" s="72">
        <f>1+'EXHIBIT C4-6'!D43</f>
        <v>1.0649999999999999</v>
      </c>
    </row>
    <row r="45" spans="1:12" x14ac:dyDescent="0.4">
      <c r="G45" s="72"/>
    </row>
    <row r="46" spans="1:12" x14ac:dyDescent="0.4">
      <c r="G46" s="72"/>
    </row>
    <row r="47" spans="1:12" x14ac:dyDescent="0.4">
      <c r="A47" s="138" t="s">
        <v>403</v>
      </c>
      <c r="B47" s="4" t="str">
        <f>"The number of months from the midpoint of the latest quarter of external trend used, "&amp;TEXT(W16,"m/d/yyyy")&amp;","</f>
        <v>The number of months from the midpoint of the latest quarter of external trend used, 11/15/2020,</v>
      </c>
    </row>
    <row r="48" spans="1:12" x14ac:dyDescent="0.4">
      <c r="A48" s="139"/>
      <c r="B48" s="4" t="str">
        <f>"to the assumed average accident date of  "&amp;TEXT(W17,"m/d/yyyy")&amp;"."</f>
        <v>to the assumed average accident date of  9/1/2022.</v>
      </c>
    </row>
    <row r="49" spans="1:7" x14ac:dyDescent="0.4">
      <c r="A49" s="138" t="s">
        <v>404</v>
      </c>
      <c r="B49" s="4" t="str">
        <f>"The number of months from the weighted midpoint of the experience period, "&amp;TEXT(W18,"m/d/yyyy")&amp;", to the"</f>
        <v>The number of months from the weighted midpoint of the experience period, 4/1/2018, to the</v>
      </c>
    </row>
    <row r="50" spans="1:7" x14ac:dyDescent="0.4">
      <c r="A50" s="139"/>
      <c r="B50" s="4" t="str">
        <f>"assumed average accident date of  "&amp;TEXT(W17,"m/d/yyyy")&amp;"."</f>
        <v>assumed average accident date of  9/1/2022.</v>
      </c>
    </row>
    <row r="51" spans="1:7" x14ac:dyDescent="0.4">
      <c r="G51" s="72"/>
    </row>
    <row r="52" spans="1:7" x14ac:dyDescent="0.4">
      <c r="G52" s="72"/>
    </row>
    <row r="53" spans="1:7" x14ac:dyDescent="0.4">
      <c r="G53" s="72"/>
    </row>
  </sheetData>
  <mergeCells count="33">
    <mergeCell ref="B33:E33"/>
    <mergeCell ref="A36:G36"/>
    <mergeCell ref="G38:I38"/>
    <mergeCell ref="B27:E27"/>
    <mergeCell ref="K27:L27"/>
    <mergeCell ref="B28:E28"/>
    <mergeCell ref="B30:E30"/>
    <mergeCell ref="B31:E31"/>
    <mergeCell ref="B32:F32"/>
    <mergeCell ref="B26:E26"/>
    <mergeCell ref="A7:I7"/>
    <mergeCell ref="J7:S7"/>
    <mergeCell ref="A8:I8"/>
    <mergeCell ref="J8:S8"/>
    <mergeCell ref="A11:D11"/>
    <mergeCell ref="K13:N13"/>
    <mergeCell ref="C15:E15"/>
    <mergeCell ref="K22:L22"/>
    <mergeCell ref="B23:E23"/>
    <mergeCell ref="B24:E24"/>
    <mergeCell ref="B25:E25"/>
    <mergeCell ref="A4:I4"/>
    <mergeCell ref="J4:S4"/>
    <mergeCell ref="A5:I5"/>
    <mergeCell ref="J5:S5"/>
    <mergeCell ref="A6:I6"/>
    <mergeCell ref="J6:S6"/>
    <mergeCell ref="A1:I1"/>
    <mergeCell ref="J1:S1"/>
    <mergeCell ref="A2:I2"/>
    <mergeCell ref="J2:S2"/>
    <mergeCell ref="A3:I3"/>
    <mergeCell ref="J3:S3"/>
  </mergeCells>
  <printOptions horizontalCentered="1"/>
  <pageMargins left="0.2" right="0.2" top="0.25" bottom="0.25" header="0.3" footer="0.3"/>
  <pageSetup firstPageNumber="0" orientation="portrait" useFirstPageNumber="1" r:id="rId1"/>
  <headerFooter>
    <oddHeader>&amp;L&amp;"Times New Roman"&amp;9INSURANCE SERVICES OFFICE, INC.</oddHeader>
    <oddFooter>&amp;C&amp;"Times New Roman"&amp;9© Insurance Services Office, Inc., 2022        		OREGON        BP-2021-RLA1&amp;R&amp;"Times New Roman"&amp;9&amp;A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A5C3AC-9545-44DA-B523-DA4A66F6E6AC}">
  <sheetPr>
    <pageSetUpPr fitToPage="1"/>
  </sheetPr>
  <dimension ref="A1:M48"/>
  <sheetViews>
    <sheetView zoomScale="85" zoomScaleNormal="85" workbookViewId="0">
      <selection sqref="A1:H1"/>
    </sheetView>
  </sheetViews>
  <sheetFormatPr defaultRowHeight="12.75" x14ac:dyDescent="0.35"/>
  <cols>
    <col min="1" max="1" width="11.3984375" style="84" customWidth="1"/>
    <col min="2" max="2" width="14.3984375" style="84" customWidth="1"/>
    <col min="3" max="3" width="13.86328125" style="84" customWidth="1"/>
    <col min="4" max="5" width="13" style="84" customWidth="1"/>
    <col min="6" max="6" width="11.86328125" style="84" customWidth="1"/>
    <col min="7" max="7" width="13.265625" style="84" bestFit="1" customWidth="1"/>
    <col min="8" max="8" width="11.59765625" style="84" customWidth="1"/>
    <col min="9" max="9" width="10.59765625" style="84" customWidth="1"/>
    <col min="10" max="10" width="16.59765625" style="84" bestFit="1" customWidth="1"/>
    <col min="11" max="12" width="15" style="84" bestFit="1" customWidth="1"/>
    <col min="13" max="13" width="9.265625" style="84" bestFit="1" customWidth="1"/>
    <col min="14" max="16384" width="9.06640625" style="84"/>
  </cols>
  <sheetData>
    <row r="1" spans="1:13" ht="13.9" x14ac:dyDescent="0.4">
      <c r="A1" s="266" t="str">
        <f>UPPER(state)</f>
        <v>OREGON</v>
      </c>
      <c r="B1" s="266"/>
      <c r="C1" s="266"/>
      <c r="D1" s="266"/>
      <c r="E1" s="266"/>
      <c r="F1" s="266"/>
      <c r="G1" s="266"/>
      <c r="H1" s="266"/>
    </row>
    <row r="2" spans="1:13" ht="13.9" x14ac:dyDescent="0.4">
      <c r="A2" s="266"/>
      <c r="B2" s="266"/>
      <c r="C2" s="266"/>
      <c r="D2" s="266"/>
      <c r="E2" s="266"/>
      <c r="F2" s="266"/>
      <c r="G2" s="266"/>
      <c r="H2" s="266"/>
    </row>
    <row r="3" spans="1:13" ht="13.9" x14ac:dyDescent="0.4">
      <c r="A3" s="266" t="s">
        <v>153</v>
      </c>
      <c r="B3" s="266"/>
      <c r="C3" s="266"/>
      <c r="D3" s="266"/>
      <c r="E3" s="266"/>
      <c r="F3" s="266"/>
      <c r="G3" s="266"/>
      <c r="H3" s="266"/>
    </row>
    <row r="4" spans="1:13" ht="13.9" x14ac:dyDescent="0.4">
      <c r="A4" s="266"/>
      <c r="B4" s="266"/>
      <c r="C4" s="266"/>
      <c r="D4" s="266"/>
      <c r="E4" s="266"/>
      <c r="F4" s="266"/>
      <c r="G4" s="266"/>
      <c r="H4" s="266"/>
    </row>
    <row r="5" spans="1:13" ht="13.9" x14ac:dyDescent="0.4">
      <c r="A5" s="266" t="s">
        <v>405</v>
      </c>
      <c r="B5" s="266"/>
      <c r="C5" s="266"/>
      <c r="D5" s="266"/>
      <c r="E5" s="266"/>
      <c r="F5" s="266"/>
      <c r="G5" s="266"/>
      <c r="H5" s="266"/>
    </row>
    <row r="6" spans="1:13" ht="13.9" x14ac:dyDescent="0.4">
      <c r="A6" s="266"/>
      <c r="B6" s="266"/>
      <c r="C6" s="266"/>
      <c r="D6" s="266"/>
      <c r="E6" s="266"/>
      <c r="F6" s="266"/>
      <c r="G6" s="266"/>
      <c r="H6" s="266"/>
    </row>
    <row r="7" spans="1:13" ht="13.9" x14ac:dyDescent="0.4">
      <c r="A7" s="266" t="s">
        <v>406</v>
      </c>
      <c r="B7" s="266"/>
      <c r="C7" s="266"/>
      <c r="D7" s="266"/>
      <c r="E7" s="266"/>
      <c r="F7" s="266"/>
      <c r="G7" s="266"/>
      <c r="H7" s="266"/>
    </row>
    <row r="8" spans="1:13" ht="13.9" x14ac:dyDescent="0.4">
      <c r="A8" s="266"/>
      <c r="B8" s="266"/>
      <c r="C8" s="266"/>
      <c r="D8" s="266"/>
      <c r="E8" s="266"/>
      <c r="F8" s="266"/>
      <c r="G8" s="266"/>
      <c r="H8" s="266"/>
    </row>
    <row r="9" spans="1:13" ht="13.9" x14ac:dyDescent="0.4">
      <c r="A9" s="266" t="s">
        <v>407</v>
      </c>
      <c r="B9" s="266"/>
      <c r="C9" s="266"/>
      <c r="D9" s="266"/>
      <c r="E9" s="266"/>
      <c r="F9" s="266"/>
      <c r="G9" s="266"/>
      <c r="H9" s="266"/>
    </row>
    <row r="11" spans="1:13" ht="13.9" x14ac:dyDescent="0.4">
      <c r="F11" s="38" t="s">
        <v>408</v>
      </c>
      <c r="G11" s="38" t="s">
        <v>408</v>
      </c>
      <c r="H11" s="38"/>
    </row>
    <row r="12" spans="1:13" ht="13.9" x14ac:dyDescent="0.4">
      <c r="A12" s="38" t="s">
        <v>409</v>
      </c>
      <c r="B12" s="38" t="s">
        <v>410</v>
      </c>
      <c r="C12" s="38" t="s">
        <v>288</v>
      </c>
      <c r="D12" s="38" t="s">
        <v>411</v>
      </c>
      <c r="E12" s="38" t="s">
        <v>412</v>
      </c>
      <c r="F12" s="38" t="s">
        <v>413</v>
      </c>
      <c r="G12" s="38" t="s">
        <v>413</v>
      </c>
      <c r="H12" s="38" t="s">
        <v>414</v>
      </c>
    </row>
    <row r="13" spans="1:13" ht="13.9" x14ac:dyDescent="0.4">
      <c r="A13" s="164" t="s">
        <v>109</v>
      </c>
      <c r="B13" s="164" t="s">
        <v>415</v>
      </c>
      <c r="C13" s="164" t="s">
        <v>416</v>
      </c>
      <c r="D13" s="164" t="s">
        <v>416</v>
      </c>
      <c r="E13" s="164" t="s">
        <v>417</v>
      </c>
      <c r="F13" s="164" t="s">
        <v>418</v>
      </c>
      <c r="G13" s="164" t="s">
        <v>419</v>
      </c>
      <c r="H13" s="164" t="s">
        <v>420</v>
      </c>
      <c r="J13" s="164"/>
      <c r="K13" s="164"/>
      <c r="L13" s="164"/>
      <c r="M13" s="164"/>
    </row>
    <row r="14" spans="1:13" ht="14.25" x14ac:dyDescent="0.45">
      <c r="A14" s="28">
        <v>2011</v>
      </c>
      <c r="B14" s="165">
        <v>7454763982.7241697</v>
      </c>
      <c r="C14" s="165">
        <v>221604969.80000001</v>
      </c>
      <c r="D14" s="165">
        <v>192373421</v>
      </c>
      <c r="E14" s="165">
        <v>3740</v>
      </c>
      <c r="F14" s="166">
        <f>C14/E14</f>
        <v>59252.665721925136</v>
      </c>
      <c r="G14" s="166">
        <f>D14/E14</f>
        <v>51436.743582887699</v>
      </c>
      <c r="H14" s="167">
        <f>E14/B14*100000</f>
        <v>5.0169261007687926E-2</v>
      </c>
      <c r="J14" s="168"/>
      <c r="K14" s="168"/>
      <c r="L14" s="168"/>
      <c r="M14" s="168"/>
    </row>
    <row r="15" spans="1:13" ht="14.25" x14ac:dyDescent="0.45">
      <c r="A15" s="28">
        <v>2012</v>
      </c>
      <c r="B15" s="165">
        <v>7368669402.5067797</v>
      </c>
      <c r="C15" s="165">
        <v>256949635</v>
      </c>
      <c r="D15" s="165">
        <v>218627942.30000001</v>
      </c>
      <c r="E15" s="165">
        <v>3635</v>
      </c>
      <c r="F15" s="166">
        <f t="shared" ref="F15:F23" si="0">C15/E15</f>
        <v>70687.657496561209</v>
      </c>
      <c r="G15" s="166">
        <f t="shared" ref="G15:G23" si="1">D15/E15</f>
        <v>60145.238596973868</v>
      </c>
      <c r="H15" s="167">
        <f t="shared" ref="H15:H23" si="2">E15/B15*100000</f>
        <v>4.9330480191761533E-2</v>
      </c>
      <c r="J15" s="168"/>
      <c r="K15" s="168"/>
      <c r="L15" s="168"/>
      <c r="M15" s="168"/>
    </row>
    <row r="16" spans="1:13" ht="14.25" x14ac:dyDescent="0.45">
      <c r="A16" s="28">
        <v>2013</v>
      </c>
      <c r="B16" s="165">
        <v>7072320307.1358604</v>
      </c>
      <c r="C16" s="165">
        <v>263046967.40000001</v>
      </c>
      <c r="D16" s="165">
        <v>216228508.09999999</v>
      </c>
      <c r="E16" s="165">
        <v>3201</v>
      </c>
      <c r="F16" s="166">
        <f t="shared" si="0"/>
        <v>82176.497157138394</v>
      </c>
      <c r="G16" s="166">
        <f t="shared" si="1"/>
        <v>67550.299312714778</v>
      </c>
      <c r="H16" s="167">
        <f t="shared" si="2"/>
        <v>4.5260959076899289E-2</v>
      </c>
      <c r="J16" s="168"/>
      <c r="K16" s="168"/>
      <c r="L16" s="168"/>
      <c r="M16" s="168"/>
    </row>
    <row r="17" spans="1:13" ht="14.25" x14ac:dyDescent="0.45">
      <c r="A17" s="28">
        <v>2014</v>
      </c>
      <c r="B17" s="165">
        <v>6881112634.4457903</v>
      </c>
      <c r="C17" s="165">
        <v>252116685.69999999</v>
      </c>
      <c r="D17" s="165">
        <v>207869544.59999999</v>
      </c>
      <c r="E17" s="165">
        <v>2682</v>
      </c>
      <c r="F17" s="166">
        <f t="shared" si="0"/>
        <v>94003.238516032812</v>
      </c>
      <c r="G17" s="166">
        <f t="shared" si="1"/>
        <v>77505.423042505587</v>
      </c>
      <c r="H17" s="167">
        <f t="shared" si="2"/>
        <v>3.8976254894801762E-2</v>
      </c>
      <c r="J17" s="168"/>
      <c r="K17" s="168"/>
      <c r="L17" s="168"/>
      <c r="M17" s="168"/>
    </row>
    <row r="18" spans="1:13" ht="14.25" x14ac:dyDescent="0.45">
      <c r="A18" s="28">
        <v>2015</v>
      </c>
      <c r="B18" s="165">
        <v>6608062883.8122396</v>
      </c>
      <c r="C18" s="165">
        <v>228871719.69999999</v>
      </c>
      <c r="D18" s="165">
        <v>184251008.19999999</v>
      </c>
      <c r="E18" s="165">
        <v>2496</v>
      </c>
      <c r="F18" s="166">
        <f t="shared" si="0"/>
        <v>91695.400520833326</v>
      </c>
      <c r="G18" s="166">
        <f t="shared" si="1"/>
        <v>73818.512900641028</v>
      </c>
      <c r="H18" s="167">
        <f t="shared" si="2"/>
        <v>3.7772037643807037E-2</v>
      </c>
      <c r="J18" s="168"/>
      <c r="K18" s="169"/>
      <c r="L18" s="168"/>
      <c r="M18" s="168"/>
    </row>
    <row r="19" spans="1:13" ht="14.25" x14ac:dyDescent="0.45">
      <c r="A19" s="28">
        <v>2016</v>
      </c>
      <c r="B19" s="165">
        <v>6534224412.3747797</v>
      </c>
      <c r="C19" s="165">
        <v>244573605.19999999</v>
      </c>
      <c r="D19" s="165">
        <v>194200965.09999999</v>
      </c>
      <c r="E19" s="165">
        <v>2381</v>
      </c>
      <c r="F19" s="166">
        <f t="shared" si="0"/>
        <v>102718.85980680386</v>
      </c>
      <c r="G19" s="166">
        <f t="shared" si="1"/>
        <v>81562.774086518271</v>
      </c>
      <c r="H19" s="167">
        <f t="shared" si="2"/>
        <v>3.6438907661187236E-2</v>
      </c>
      <c r="J19" s="168"/>
      <c r="K19" s="169"/>
      <c r="L19" s="168"/>
      <c r="M19" s="168"/>
    </row>
    <row r="20" spans="1:13" ht="14.25" x14ac:dyDescent="0.45">
      <c r="A20" s="28">
        <v>2017</v>
      </c>
      <c r="B20" s="165">
        <v>7059543166.2479601</v>
      </c>
      <c r="C20" s="165">
        <v>280991777.30000001</v>
      </c>
      <c r="D20" s="165">
        <v>215010578</v>
      </c>
      <c r="E20" s="165">
        <v>2581</v>
      </c>
      <c r="F20" s="166">
        <f t="shared" si="0"/>
        <v>108869.34416892678</v>
      </c>
      <c r="G20" s="166">
        <f t="shared" si="1"/>
        <v>83305.144517628825</v>
      </c>
      <c r="H20" s="167">
        <f t="shared" si="2"/>
        <v>3.6560439382818624E-2</v>
      </c>
      <c r="J20" s="168"/>
      <c r="K20" s="169"/>
      <c r="L20" s="168"/>
      <c r="M20" s="168"/>
    </row>
    <row r="21" spans="1:13" ht="14.25" x14ac:dyDescent="0.45">
      <c r="A21" s="28">
        <v>2018</v>
      </c>
      <c r="B21" s="165">
        <v>7560027441.4124298</v>
      </c>
      <c r="C21" s="165">
        <v>293460562.69999999</v>
      </c>
      <c r="D21" s="165">
        <v>208411908</v>
      </c>
      <c r="E21" s="165">
        <v>2334</v>
      </c>
      <c r="F21" s="166">
        <f t="shared" si="0"/>
        <v>125732.88890317052</v>
      </c>
      <c r="G21" s="166">
        <f t="shared" si="1"/>
        <v>89293.8766066838</v>
      </c>
      <c r="H21" s="167">
        <f t="shared" si="2"/>
        <v>3.0872903810041485E-2</v>
      </c>
      <c r="J21" s="168"/>
      <c r="K21" s="169"/>
      <c r="L21" s="168"/>
      <c r="M21" s="168"/>
    </row>
    <row r="22" spans="1:13" ht="14.25" x14ac:dyDescent="0.45">
      <c r="A22" s="28">
        <v>2019</v>
      </c>
      <c r="B22" s="165">
        <v>7780011902.4973497</v>
      </c>
      <c r="C22" s="165">
        <v>310875555.10000002</v>
      </c>
      <c r="D22" s="165">
        <v>239551005.80000001</v>
      </c>
      <c r="E22" s="165">
        <v>2391</v>
      </c>
      <c r="F22" s="166">
        <f t="shared" si="0"/>
        <v>130019.05273943958</v>
      </c>
      <c r="G22" s="166">
        <f t="shared" si="1"/>
        <v>100188.62643245504</v>
      </c>
      <c r="H22" s="167">
        <f t="shared" si="2"/>
        <v>3.073260079759646E-2</v>
      </c>
      <c r="J22" s="168"/>
      <c r="K22" s="169"/>
      <c r="L22" s="168"/>
      <c r="M22" s="168"/>
    </row>
    <row r="23" spans="1:13" ht="14.25" x14ac:dyDescent="0.45">
      <c r="A23" s="28">
        <v>2020</v>
      </c>
      <c r="B23" s="165">
        <v>7931098890.5255098</v>
      </c>
      <c r="C23" s="165">
        <v>312266712.69999999</v>
      </c>
      <c r="D23" s="165">
        <v>237822469</v>
      </c>
      <c r="E23" s="165">
        <v>2158</v>
      </c>
      <c r="F23" s="166">
        <f t="shared" si="0"/>
        <v>144701.90579240036</v>
      </c>
      <c r="G23" s="166">
        <f t="shared" si="1"/>
        <v>110205.03660797034</v>
      </c>
      <c r="H23" s="167">
        <f t="shared" si="2"/>
        <v>2.7209344250869787E-2</v>
      </c>
      <c r="J23" s="168"/>
      <c r="K23" s="168"/>
      <c r="L23" s="168"/>
      <c r="M23" s="168"/>
    </row>
    <row r="24" spans="1:13" ht="13.9" x14ac:dyDescent="0.4">
      <c r="A24" s="28"/>
      <c r="B24" s="166"/>
      <c r="C24" s="166"/>
      <c r="D24" s="166"/>
      <c r="E24" s="166"/>
      <c r="F24" s="166"/>
      <c r="G24" s="166"/>
      <c r="H24" s="167"/>
    </row>
    <row r="26" spans="1:13" ht="13.9" x14ac:dyDescent="0.4">
      <c r="A26" s="267" t="s">
        <v>421</v>
      </c>
      <c r="B26" s="267"/>
      <c r="F26" s="170" t="s">
        <v>422</v>
      </c>
      <c r="G26" s="170"/>
    </row>
    <row r="27" spans="1:13" ht="13.9" x14ac:dyDescent="0.35">
      <c r="D27" s="171" t="s">
        <v>366</v>
      </c>
      <c r="E27" s="171" t="s">
        <v>372</v>
      </c>
      <c r="F27" s="171" t="s">
        <v>366</v>
      </c>
      <c r="G27" s="171" t="s">
        <v>423</v>
      </c>
    </row>
    <row r="28" spans="1:13" ht="13.9" x14ac:dyDescent="0.35">
      <c r="D28" s="171"/>
      <c r="E28" s="171"/>
      <c r="F28" s="171"/>
      <c r="G28" s="171"/>
    </row>
    <row r="29" spans="1:13" ht="13.9" x14ac:dyDescent="0.4">
      <c r="A29" s="268" t="s">
        <v>424</v>
      </c>
      <c r="B29" s="268"/>
      <c r="C29" s="268"/>
      <c r="D29" s="172">
        <f>ROUND(LOGEST(F$14:F$23,$A$14:$A$23,TRUE, TRUE)-1,3)</f>
        <v>9.5000000000000001E-2</v>
      </c>
      <c r="E29" s="172">
        <f>ROUND(LOGEST($H$14:$H$23,$A$14:$A$23,TRUE, TRUE)-1,3)</f>
        <v>-6.4000000000000001E-2</v>
      </c>
      <c r="F29" s="173">
        <f>RSQ(LN(F$14:F$23),$A$14:$A$23)</f>
        <v>0.96608126238252912</v>
      </c>
      <c r="G29" s="173">
        <f>RSQ(LN($H$14:$H$23),$A$14:$A$23)</f>
        <v>0.96160906706791827</v>
      </c>
      <c r="K29" s="172"/>
    </row>
    <row r="30" spans="1:13" ht="13.9" x14ac:dyDescent="0.4">
      <c r="A30" s="268"/>
      <c r="B30" s="268"/>
      <c r="C30" s="268"/>
      <c r="D30" s="172"/>
      <c r="E30" s="172"/>
      <c r="F30" s="173"/>
      <c r="G30" s="173"/>
    </row>
    <row r="31" spans="1:13" ht="13.9" x14ac:dyDescent="0.4">
      <c r="A31" s="268" t="s">
        <v>425</v>
      </c>
      <c r="B31" s="268"/>
      <c r="C31" s="268"/>
      <c r="D31" s="172">
        <f>ROUND(LOGEST(F$16:F$23,$A$16:$A$23,TRUE, TRUE)-1,3)</f>
        <v>8.2000000000000003E-2</v>
      </c>
      <c r="E31" s="172">
        <f>ROUND(LOGEST($H$16:$H$23,$A$16:$A$23,TRUE, TRUE)-1,3)</f>
        <v>-6.2E-2</v>
      </c>
      <c r="F31" s="173">
        <f>RSQ(LN(F$16:F$23),$A$16:$A$23)</f>
        <v>0.9696283400040917</v>
      </c>
      <c r="G31" s="173">
        <f>RSQ(LN($H$16:$H$23),$A$16:$A$23)</f>
        <v>0.93161400047292497</v>
      </c>
    </row>
    <row r="32" spans="1:13" ht="13.9" x14ac:dyDescent="0.35">
      <c r="A32" s="269"/>
      <c r="B32" s="269"/>
      <c r="C32" s="269"/>
      <c r="D32" s="172"/>
      <c r="E32" s="172"/>
      <c r="F32" s="173"/>
      <c r="G32" s="173"/>
    </row>
    <row r="33" spans="1:7" ht="13.9" x14ac:dyDescent="0.4">
      <c r="A33" s="268" t="s">
        <v>426</v>
      </c>
      <c r="B33" s="268"/>
      <c r="C33" s="268"/>
      <c r="D33" s="172">
        <f>ROUND(LOGEST(F$18:F$23,$A$18:$A$23,TRUE, TRUE)-1,3)</f>
        <v>9.4E-2</v>
      </c>
      <c r="E33" s="172">
        <f>ROUND(LOGEST($H$18:$H$23,$A$18:$A$23,TRUE, TRUE)-1,3)</f>
        <v>-6.4000000000000001E-2</v>
      </c>
      <c r="F33" s="173">
        <f>RSQ(LN(F$18:F$23),$A$18:$A$23)</f>
        <v>0.98363168889863017</v>
      </c>
      <c r="G33" s="173">
        <f>RSQ(LN($H$18:$H$23),$A$18:$A$23)</f>
        <v>0.901526281395444</v>
      </c>
    </row>
    <row r="34" spans="1:7" ht="13.9" x14ac:dyDescent="0.4">
      <c r="A34" s="268"/>
      <c r="B34" s="268"/>
      <c r="C34" s="268"/>
      <c r="D34" s="172"/>
      <c r="E34" s="172"/>
      <c r="F34" s="173"/>
      <c r="G34" s="173"/>
    </row>
    <row r="35" spans="1:7" ht="13.9" x14ac:dyDescent="0.4">
      <c r="A35" s="268"/>
      <c r="B35" s="268"/>
      <c r="C35" s="268"/>
    </row>
    <row r="36" spans="1:7" ht="13.9" x14ac:dyDescent="0.4">
      <c r="A36" s="267" t="s">
        <v>427</v>
      </c>
      <c r="B36" s="267"/>
      <c r="C36" s="267"/>
      <c r="F36" s="170" t="s">
        <v>422</v>
      </c>
      <c r="G36" s="170"/>
    </row>
    <row r="37" spans="1:7" ht="13.9" x14ac:dyDescent="0.35">
      <c r="A37" s="269"/>
      <c r="B37" s="269"/>
      <c r="C37" s="269"/>
      <c r="D37" s="171" t="s">
        <v>366</v>
      </c>
      <c r="E37" s="171" t="s">
        <v>372</v>
      </c>
      <c r="F37" s="171" t="s">
        <v>366</v>
      </c>
      <c r="G37" s="171" t="s">
        <v>423</v>
      </c>
    </row>
    <row r="38" spans="1:7" ht="13.9" x14ac:dyDescent="0.35">
      <c r="A38" s="269"/>
      <c r="B38" s="269"/>
      <c r="C38" s="269"/>
      <c r="D38" s="171"/>
      <c r="E38" s="171"/>
      <c r="F38" s="171"/>
      <c r="G38" s="171"/>
    </row>
    <row r="39" spans="1:7" ht="13.9" x14ac:dyDescent="0.4">
      <c r="A39" s="268" t="s">
        <v>424</v>
      </c>
      <c r="B39" s="268"/>
      <c r="C39" s="268"/>
      <c r="D39" s="172">
        <f>ROUND(LOGEST(G14:G23,A14:A23,TRUE, TRUE)-1,3)</f>
        <v>7.5999999999999998E-2</v>
      </c>
      <c r="E39" s="172">
        <f>ROUND(LOGEST($H$14:$H$23,$A$14:$A$23,TRUE, TRUE)-1,3)</f>
        <v>-6.4000000000000001E-2</v>
      </c>
      <c r="F39" s="173">
        <f>RSQ(LN(G$14:G$23),$A$14:$A$23)</f>
        <v>0.94788486483146517</v>
      </c>
      <c r="G39" s="173">
        <f>RSQ(LN($H$14:$H$23),$A$14:$A$23)</f>
        <v>0.96160906706791827</v>
      </c>
    </row>
    <row r="40" spans="1:7" ht="13.9" x14ac:dyDescent="0.4">
      <c r="A40" s="268"/>
      <c r="B40" s="268"/>
      <c r="C40" s="268"/>
      <c r="D40" s="172"/>
      <c r="E40" s="172"/>
      <c r="F40" s="173"/>
      <c r="G40" s="173"/>
    </row>
    <row r="41" spans="1:7" ht="13.9" x14ac:dyDescent="0.4">
      <c r="A41" s="268" t="s">
        <v>425</v>
      </c>
      <c r="B41" s="268"/>
      <c r="C41" s="268"/>
      <c r="D41" s="172">
        <f>ROUND(LOGEST(G$16:G$23,$A$16:$A$23,TRUE, TRUE)-1,3)</f>
        <v>6.5000000000000002E-2</v>
      </c>
      <c r="E41" s="172">
        <f>ROUND(LOGEST($H$16:$H$23,$A$16:$A$23,TRUE, TRUE)-1,3)</f>
        <v>-6.2E-2</v>
      </c>
      <c r="F41" s="173">
        <f>RSQ(LN(G$16:G$23),$A$16:$A$23)</f>
        <v>0.93014782455779832</v>
      </c>
      <c r="G41" s="173">
        <f>RSQ(LN($H$16:$H$23),$A$16:$A$23)</f>
        <v>0.93161400047292497</v>
      </c>
    </row>
    <row r="42" spans="1:7" ht="13.9" x14ac:dyDescent="0.35">
      <c r="A42" s="269"/>
      <c r="B42" s="269"/>
      <c r="C42" s="269"/>
      <c r="D42" s="172"/>
      <c r="E42" s="172"/>
      <c r="F42" s="173"/>
      <c r="G42" s="173"/>
    </row>
    <row r="43" spans="1:7" ht="13.9" x14ac:dyDescent="0.4">
      <c r="A43" s="268" t="s">
        <v>426</v>
      </c>
      <c r="B43" s="268"/>
      <c r="C43" s="268"/>
      <c r="D43" s="172">
        <f>ROUND(LOGEST(G$18:G$23,$A$18:$A$23,TRUE, TRUE)-1,3)</f>
        <v>0.08</v>
      </c>
      <c r="E43" s="172">
        <f>ROUND(LOGEST($H$18:$H$23,$A$18:$A$23,TRUE, TRUE)-1,3)</f>
        <v>-6.4000000000000001E-2</v>
      </c>
      <c r="F43" s="173">
        <f>RSQ(LN(G$18:G$23),$A$18:$A$23)</f>
        <v>0.96921746292882338</v>
      </c>
      <c r="G43" s="173">
        <f>RSQ(LN($H$18:$H$23),$A$18:$A$23)</f>
        <v>0.901526281395444</v>
      </c>
    </row>
    <row r="44" spans="1:7" x14ac:dyDescent="0.35">
      <c r="A44" s="269"/>
      <c r="B44" s="269"/>
      <c r="C44" s="269"/>
    </row>
    <row r="45" spans="1:7" ht="13.9" x14ac:dyDescent="0.4">
      <c r="A45" s="268" t="s">
        <v>428</v>
      </c>
      <c r="B45" s="268"/>
      <c r="C45" s="268"/>
      <c r="D45" s="172">
        <f>DZ_INPUTS!B34</f>
        <v>0.08</v>
      </c>
      <c r="E45" s="172">
        <f>DZ_INPUTS!C34</f>
        <v>-0.06</v>
      </c>
    </row>
    <row r="47" spans="1:7" ht="13.9" x14ac:dyDescent="0.4">
      <c r="A47" s="174" t="s">
        <v>429</v>
      </c>
    </row>
    <row r="48" spans="1:7" x14ac:dyDescent="0.35">
      <c r="B48" s="84" t="s">
        <v>430</v>
      </c>
    </row>
  </sheetData>
  <mergeCells count="27">
    <mergeCell ref="A43:C43"/>
    <mergeCell ref="A44:C44"/>
    <mergeCell ref="A45:C45"/>
    <mergeCell ref="A37:C37"/>
    <mergeCell ref="A38:C38"/>
    <mergeCell ref="A39:C39"/>
    <mergeCell ref="A40:C40"/>
    <mergeCell ref="A41:C41"/>
    <mergeCell ref="A42:C42"/>
    <mergeCell ref="A36:C36"/>
    <mergeCell ref="A7:H7"/>
    <mergeCell ref="A8:H8"/>
    <mergeCell ref="A9:H9"/>
    <mergeCell ref="A26:B26"/>
    <mergeCell ref="A29:C29"/>
    <mergeCell ref="A30:C30"/>
    <mergeCell ref="A31:C31"/>
    <mergeCell ref="A32:C32"/>
    <mergeCell ref="A33:C33"/>
    <mergeCell ref="A34:C34"/>
    <mergeCell ref="A35:C35"/>
    <mergeCell ref="A6:H6"/>
    <mergeCell ref="A1:H1"/>
    <mergeCell ref="A2:H2"/>
    <mergeCell ref="A3:H3"/>
    <mergeCell ref="A4:H4"/>
    <mergeCell ref="A5:H5"/>
  </mergeCells>
  <printOptions horizontalCentered="1"/>
  <pageMargins left="0.2" right="0.2" top="0.25" bottom="0.25" header="0.3" footer="0.3"/>
  <pageSetup scale="99" firstPageNumber="0" orientation="portrait" useFirstPageNumber="1" r:id="rId1"/>
  <headerFooter>
    <oddHeader>&amp;L&amp;"Times New Roman"&amp;9INSURANCE SERVICES OFFICE, INC.</oddHeader>
    <oddFooter>&amp;C&amp;"Times New Roman"&amp;9© Insurance Services Office, Inc., 2022        		OREGON        BP-2021-RLA1&amp;R&amp;"Times New Roman"&amp;9&amp;A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CEA73-5D53-4AC4-BA43-3773B2745E78}">
  <sheetPr>
    <pageSetUpPr fitToPage="1"/>
  </sheetPr>
  <dimension ref="A1:H48"/>
  <sheetViews>
    <sheetView zoomScale="85" zoomScaleNormal="85" workbookViewId="0">
      <selection sqref="A1:H1"/>
    </sheetView>
  </sheetViews>
  <sheetFormatPr defaultRowHeight="12.75" x14ac:dyDescent="0.35"/>
  <cols>
    <col min="1" max="1" width="11.3984375" style="84" customWidth="1"/>
    <col min="2" max="2" width="14.3984375" style="84" customWidth="1"/>
    <col min="3" max="3" width="13.73046875" style="84" customWidth="1"/>
    <col min="4" max="5" width="13" style="84" customWidth="1"/>
    <col min="6" max="6" width="11.86328125" style="84" customWidth="1"/>
    <col min="7" max="7" width="13.265625" style="84" bestFit="1" customWidth="1"/>
    <col min="8" max="8" width="11.59765625" style="84" customWidth="1"/>
    <col min="9" max="9" width="10.59765625" style="84" customWidth="1"/>
    <col min="10" max="16384" width="9.06640625" style="84"/>
  </cols>
  <sheetData>
    <row r="1" spans="1:8" ht="13.9" x14ac:dyDescent="0.4">
      <c r="A1" s="266" t="str">
        <f>UPPER(state)</f>
        <v>OREGON</v>
      </c>
      <c r="B1" s="266"/>
      <c r="C1" s="266"/>
      <c r="D1" s="266"/>
      <c r="E1" s="266"/>
      <c r="F1" s="266"/>
      <c r="G1" s="266"/>
      <c r="H1" s="266"/>
    </row>
    <row r="2" spans="1:8" ht="13.9" x14ac:dyDescent="0.4">
      <c r="A2" s="266"/>
      <c r="B2" s="266"/>
      <c r="C2" s="266"/>
      <c r="D2" s="266"/>
      <c r="E2" s="266"/>
      <c r="F2" s="266"/>
      <c r="G2" s="266"/>
      <c r="H2" s="266"/>
    </row>
    <row r="3" spans="1:8" ht="13.9" x14ac:dyDescent="0.4">
      <c r="A3" s="266" t="s">
        <v>153</v>
      </c>
      <c r="B3" s="266"/>
      <c r="C3" s="266"/>
      <c r="D3" s="266"/>
      <c r="E3" s="266"/>
      <c r="F3" s="266"/>
      <c r="G3" s="266"/>
      <c r="H3" s="266"/>
    </row>
    <row r="4" spans="1:8" ht="13.9" x14ac:dyDescent="0.4">
      <c r="A4" s="266"/>
      <c r="B4" s="266"/>
      <c r="C4" s="266"/>
      <c r="D4" s="266"/>
      <c r="E4" s="266"/>
      <c r="F4" s="266"/>
      <c r="G4" s="266"/>
      <c r="H4" s="266"/>
    </row>
    <row r="5" spans="1:8" ht="13.9" x14ac:dyDescent="0.4">
      <c r="A5" s="266" t="s">
        <v>431</v>
      </c>
      <c r="B5" s="266"/>
      <c r="C5" s="266"/>
      <c r="D5" s="266"/>
      <c r="E5" s="266"/>
      <c r="F5" s="266"/>
      <c r="G5" s="266"/>
      <c r="H5" s="266"/>
    </row>
    <row r="6" spans="1:8" ht="13.9" x14ac:dyDescent="0.4">
      <c r="A6" s="266"/>
      <c r="B6" s="266"/>
      <c r="C6" s="266"/>
      <c r="D6" s="266"/>
      <c r="E6" s="266"/>
      <c r="F6" s="266"/>
      <c r="G6" s="266"/>
      <c r="H6" s="266"/>
    </row>
    <row r="7" spans="1:8" ht="13.9" x14ac:dyDescent="0.4">
      <c r="A7" s="266" t="s">
        <v>432</v>
      </c>
      <c r="B7" s="266"/>
      <c r="C7" s="266"/>
      <c r="D7" s="266"/>
      <c r="E7" s="266"/>
      <c r="F7" s="266"/>
      <c r="G7" s="266"/>
      <c r="H7" s="266"/>
    </row>
    <row r="8" spans="1:8" ht="13.9" x14ac:dyDescent="0.4">
      <c r="A8" s="266"/>
      <c r="B8" s="266"/>
      <c r="C8" s="266"/>
      <c r="D8" s="266"/>
      <c r="E8" s="266"/>
      <c r="F8" s="266"/>
      <c r="G8" s="266"/>
      <c r="H8" s="266"/>
    </row>
    <row r="9" spans="1:8" ht="13.9" x14ac:dyDescent="0.4">
      <c r="A9" s="266" t="s">
        <v>407</v>
      </c>
      <c r="B9" s="266"/>
      <c r="C9" s="266"/>
      <c r="D9" s="266"/>
      <c r="E9" s="266"/>
      <c r="F9" s="266"/>
      <c r="G9" s="266"/>
      <c r="H9" s="266"/>
    </row>
    <row r="11" spans="1:8" ht="13.9" x14ac:dyDescent="0.4">
      <c r="F11" s="38" t="s">
        <v>408</v>
      </c>
      <c r="G11" s="38" t="s">
        <v>408</v>
      </c>
      <c r="H11" s="38"/>
    </row>
    <row r="12" spans="1:8" ht="13.9" x14ac:dyDescent="0.4">
      <c r="A12" s="38" t="s">
        <v>409</v>
      </c>
      <c r="B12" s="38" t="s">
        <v>410</v>
      </c>
      <c r="C12" s="38" t="s">
        <v>288</v>
      </c>
      <c r="D12" s="38" t="s">
        <v>411</v>
      </c>
      <c r="E12" s="38" t="s">
        <v>412</v>
      </c>
      <c r="F12" s="38" t="s">
        <v>413</v>
      </c>
      <c r="G12" s="38" t="s">
        <v>413</v>
      </c>
      <c r="H12" s="38" t="s">
        <v>414</v>
      </c>
    </row>
    <row r="13" spans="1:8" ht="13.9" x14ac:dyDescent="0.4">
      <c r="A13" s="164" t="s">
        <v>109</v>
      </c>
      <c r="B13" s="164" t="s">
        <v>415</v>
      </c>
      <c r="C13" s="164" t="s">
        <v>416</v>
      </c>
      <c r="D13" s="164" t="s">
        <v>416</v>
      </c>
      <c r="E13" s="164" t="s">
        <v>417</v>
      </c>
      <c r="F13" s="164" t="s">
        <v>418</v>
      </c>
      <c r="G13" s="164" t="s">
        <v>419</v>
      </c>
      <c r="H13" s="164" t="s">
        <v>420</v>
      </c>
    </row>
    <row r="14" spans="1:8" ht="13.9" x14ac:dyDescent="0.4">
      <c r="A14" s="28">
        <v>2011</v>
      </c>
      <c r="B14" s="165">
        <v>1164310645.16223</v>
      </c>
      <c r="C14" s="165">
        <v>87299176.159999996</v>
      </c>
      <c r="D14" s="165">
        <v>75653935.099999994</v>
      </c>
      <c r="E14" s="165">
        <v>2806</v>
      </c>
      <c r="F14" s="166">
        <f>C14/E14</f>
        <v>31111.609465431218</v>
      </c>
      <c r="G14" s="166">
        <f>D14/E14</f>
        <v>26961.487918745544</v>
      </c>
      <c r="H14" s="167">
        <f>E14/B14*100000</f>
        <v>0.24100097440997148</v>
      </c>
    </row>
    <row r="15" spans="1:8" ht="13.9" x14ac:dyDescent="0.4">
      <c r="A15" s="28">
        <v>2012</v>
      </c>
      <c r="B15" s="165">
        <v>1136911546.39658</v>
      </c>
      <c r="C15" s="165">
        <v>88194795.989999995</v>
      </c>
      <c r="D15" s="165">
        <v>78018727.219999999</v>
      </c>
      <c r="E15" s="165">
        <v>2814</v>
      </c>
      <c r="F15" s="166">
        <f t="shared" ref="F15:F23" si="0">C15/E15</f>
        <v>31341.434253731342</v>
      </c>
      <c r="G15" s="166">
        <f t="shared" ref="G15:G23" si="1">D15/E15</f>
        <v>27725.20512437811</v>
      </c>
      <c r="H15" s="167">
        <f t="shared" ref="H15:H23" si="2">E15/B15*100000</f>
        <v>0.24751265909110703</v>
      </c>
    </row>
    <row r="16" spans="1:8" ht="13.9" x14ac:dyDescent="0.4">
      <c r="A16" s="28">
        <v>2013</v>
      </c>
      <c r="B16" s="165">
        <v>1077067215.4145999</v>
      </c>
      <c r="C16" s="165">
        <v>78013778.620000005</v>
      </c>
      <c r="D16" s="165">
        <v>68347442.700000003</v>
      </c>
      <c r="E16" s="165">
        <v>2279</v>
      </c>
      <c r="F16" s="166">
        <f t="shared" si="0"/>
        <v>34231.583422553755</v>
      </c>
      <c r="G16" s="166">
        <f t="shared" si="1"/>
        <v>29990.102106186925</v>
      </c>
      <c r="H16" s="167">
        <f t="shared" si="2"/>
        <v>0.21159310833936537</v>
      </c>
    </row>
    <row r="17" spans="1:8" ht="13.9" x14ac:dyDescent="0.4">
      <c r="A17" s="28">
        <v>2014</v>
      </c>
      <c r="B17" s="165">
        <v>1079651342.27946</v>
      </c>
      <c r="C17" s="165">
        <v>80879406.290000007</v>
      </c>
      <c r="D17" s="165">
        <v>73227178.030000001</v>
      </c>
      <c r="E17" s="165">
        <v>2158</v>
      </c>
      <c r="F17" s="166">
        <f t="shared" si="0"/>
        <v>37478.872238183503</v>
      </c>
      <c r="G17" s="166">
        <f t="shared" si="1"/>
        <v>33932.890653382761</v>
      </c>
      <c r="H17" s="167">
        <f t="shared" si="2"/>
        <v>0.19987934210722422</v>
      </c>
    </row>
    <row r="18" spans="1:8" ht="13.9" x14ac:dyDescent="0.4">
      <c r="A18" s="28">
        <v>2015</v>
      </c>
      <c r="B18" s="165">
        <v>1089471973.89013</v>
      </c>
      <c r="C18" s="165">
        <v>81428287.329999998</v>
      </c>
      <c r="D18" s="165">
        <v>73674395.609999999</v>
      </c>
      <c r="E18" s="165">
        <v>2003</v>
      </c>
      <c r="F18" s="166">
        <f t="shared" si="0"/>
        <v>40653.163919121318</v>
      </c>
      <c r="G18" s="166">
        <f t="shared" si="1"/>
        <v>36782.024767848226</v>
      </c>
      <c r="H18" s="167">
        <f t="shared" si="2"/>
        <v>0.18385053016535846</v>
      </c>
    </row>
    <row r="19" spans="1:8" ht="13.9" x14ac:dyDescent="0.4">
      <c r="A19" s="28">
        <v>2016</v>
      </c>
      <c r="B19" s="165">
        <v>1096779359.2042</v>
      </c>
      <c r="C19" s="165">
        <v>75107635.780000001</v>
      </c>
      <c r="D19" s="165">
        <v>66749974.649999999</v>
      </c>
      <c r="E19" s="165">
        <v>1923</v>
      </c>
      <c r="F19" s="166">
        <f t="shared" si="0"/>
        <v>39057.532906916276</v>
      </c>
      <c r="G19" s="166">
        <f t="shared" si="1"/>
        <v>34711.375273010919</v>
      </c>
      <c r="H19" s="167">
        <f t="shared" si="2"/>
        <v>0.17533152715376485</v>
      </c>
    </row>
    <row r="20" spans="1:8" ht="13.9" x14ac:dyDescent="0.4">
      <c r="A20" s="28">
        <v>2017</v>
      </c>
      <c r="B20" s="165">
        <v>1196975525.8388</v>
      </c>
      <c r="C20" s="165">
        <v>88070913.049999997</v>
      </c>
      <c r="D20" s="165">
        <v>79019536.030000001</v>
      </c>
      <c r="E20" s="165">
        <v>1915</v>
      </c>
      <c r="F20" s="166">
        <f t="shared" si="0"/>
        <v>45990.032924281986</v>
      </c>
      <c r="G20" s="166">
        <f t="shared" si="1"/>
        <v>41263.465289817235</v>
      </c>
      <c r="H20" s="167">
        <f t="shared" si="2"/>
        <v>0.15998656268748959</v>
      </c>
    </row>
    <row r="21" spans="1:8" ht="13.9" x14ac:dyDescent="0.4">
      <c r="A21" s="28">
        <v>2018</v>
      </c>
      <c r="B21" s="165">
        <v>1331912334.7672501</v>
      </c>
      <c r="C21" s="165">
        <v>105547252.90000001</v>
      </c>
      <c r="D21" s="165">
        <v>79676461.730000004</v>
      </c>
      <c r="E21" s="165">
        <v>1790</v>
      </c>
      <c r="F21" s="166">
        <f t="shared" si="0"/>
        <v>58964.945754189946</v>
      </c>
      <c r="G21" s="166">
        <f t="shared" si="1"/>
        <v>44511.989793296088</v>
      </c>
      <c r="H21" s="167">
        <f t="shared" si="2"/>
        <v>0.13439322943974388</v>
      </c>
    </row>
    <row r="22" spans="1:8" ht="13.9" x14ac:dyDescent="0.4">
      <c r="A22" s="28">
        <v>2019</v>
      </c>
      <c r="B22" s="165">
        <v>1351100959.7506101</v>
      </c>
      <c r="C22" s="165">
        <v>117610911</v>
      </c>
      <c r="D22" s="165">
        <v>95522311.150000006</v>
      </c>
      <c r="E22" s="165">
        <v>1829</v>
      </c>
      <c r="F22" s="166">
        <f t="shared" si="0"/>
        <v>64303.395844723891</v>
      </c>
      <c r="G22" s="166">
        <f t="shared" si="1"/>
        <v>52226.523318753418</v>
      </c>
      <c r="H22" s="167">
        <f t="shared" si="2"/>
        <v>0.13537108287878072</v>
      </c>
    </row>
    <row r="23" spans="1:8" ht="13.9" x14ac:dyDescent="0.4">
      <c r="A23" s="28">
        <v>2020</v>
      </c>
      <c r="B23" s="165">
        <v>1343258714.4362299</v>
      </c>
      <c r="C23" s="165">
        <v>111281705.3</v>
      </c>
      <c r="D23" s="165">
        <v>91797623.370000005</v>
      </c>
      <c r="E23" s="165">
        <v>1633</v>
      </c>
      <c r="F23" s="166">
        <f t="shared" si="0"/>
        <v>68145.563563992648</v>
      </c>
      <c r="G23" s="166">
        <f t="shared" si="1"/>
        <v>56214.098818126149</v>
      </c>
      <c r="H23" s="167">
        <f t="shared" si="2"/>
        <v>0.12157002835342673</v>
      </c>
    </row>
    <row r="24" spans="1:8" ht="13.9" x14ac:dyDescent="0.4">
      <c r="A24" s="28"/>
      <c r="B24" s="166"/>
      <c r="C24" s="166"/>
      <c r="D24" s="166"/>
      <c r="E24" s="166"/>
      <c r="F24" s="166"/>
      <c r="G24" s="166"/>
      <c r="H24" s="167"/>
    </row>
    <row r="26" spans="1:8" ht="13.9" x14ac:dyDescent="0.4">
      <c r="A26" s="267" t="s">
        <v>421</v>
      </c>
      <c r="B26" s="267"/>
      <c r="C26" s="267"/>
      <c r="F26" s="170" t="s">
        <v>422</v>
      </c>
      <c r="G26" s="170"/>
    </row>
    <row r="27" spans="1:8" ht="13.9" x14ac:dyDescent="0.35">
      <c r="A27" s="269"/>
      <c r="B27" s="269"/>
      <c r="C27" s="269"/>
      <c r="D27" s="171" t="s">
        <v>366</v>
      </c>
      <c r="E27" s="171" t="s">
        <v>372</v>
      </c>
      <c r="F27" s="171" t="s">
        <v>366</v>
      </c>
      <c r="G27" s="171" t="s">
        <v>423</v>
      </c>
    </row>
    <row r="28" spans="1:8" ht="13.9" x14ac:dyDescent="0.35">
      <c r="A28" s="269"/>
      <c r="B28" s="269"/>
      <c r="C28" s="269"/>
      <c r="D28" s="171"/>
      <c r="E28" s="171"/>
      <c r="F28" s="171"/>
      <c r="G28" s="171"/>
    </row>
    <row r="29" spans="1:8" ht="13.9" x14ac:dyDescent="0.4">
      <c r="A29" s="268" t="s">
        <v>424</v>
      </c>
      <c r="B29" s="268"/>
      <c r="C29" s="268"/>
      <c r="D29" s="172">
        <f>ROUND(LOGEST(F$14:F$23,$A$14:$A$23,TRUE, TRUE)-1,3)</f>
        <v>9.8000000000000004E-2</v>
      </c>
      <c r="E29" s="172">
        <f>ROUND(LOGEST($H$14:$H$23,$A$14:$A$23,TRUE, TRUE)-1,3)</f>
        <v>-7.8E-2</v>
      </c>
      <c r="F29" s="173">
        <f>RSQ(LN(F$14:F$23),$A$14:$A$23)</f>
        <v>0.93649984886829529</v>
      </c>
      <c r="G29" s="173">
        <f>RSQ(LN($H$14:$H$23),$A$14:$A$23)</f>
        <v>0.97618463985171744</v>
      </c>
    </row>
    <row r="30" spans="1:8" ht="13.9" x14ac:dyDescent="0.4">
      <c r="A30" s="268"/>
      <c r="B30" s="268"/>
      <c r="C30" s="268"/>
      <c r="D30" s="172"/>
      <c r="E30" s="172"/>
      <c r="F30" s="173"/>
      <c r="G30" s="173"/>
    </row>
    <row r="31" spans="1:8" ht="13.9" x14ac:dyDescent="0.4">
      <c r="A31" s="268" t="s">
        <v>425</v>
      </c>
      <c r="B31" s="268"/>
      <c r="C31" s="268"/>
      <c r="D31" s="172">
        <f>ROUND(LOGEST(F$16:F$23,$A$16:$A$23,TRUE, TRUE)-1,3)</f>
        <v>0.11</v>
      </c>
      <c r="E31" s="172">
        <f>ROUND(LOGEST($H$16:$H$23,$A$16:$A$23,TRUE, TRUE)-1,3)</f>
        <v>-7.8E-2</v>
      </c>
      <c r="F31" s="173">
        <f>RSQ(LN(F$16:F$23),$A$16:$A$23)</f>
        <v>0.93036302809508431</v>
      </c>
      <c r="G31" s="173">
        <f>RSQ(LN($H$16:$H$23),$A$16:$A$23)</f>
        <v>0.97433180241808126</v>
      </c>
    </row>
    <row r="32" spans="1:8" ht="13.9" x14ac:dyDescent="0.35">
      <c r="A32" s="269"/>
      <c r="B32" s="269"/>
      <c r="C32" s="269"/>
      <c r="D32" s="172"/>
      <c r="E32" s="172"/>
      <c r="F32" s="173"/>
      <c r="G32" s="173"/>
    </row>
    <row r="33" spans="1:7" ht="13.9" x14ac:dyDescent="0.4">
      <c r="A33" s="268" t="s">
        <v>426</v>
      </c>
      <c r="B33" s="268"/>
      <c r="C33" s="268"/>
      <c r="D33" s="172">
        <f>ROUND(LOGEST(F$18:F$23,$A$18:$A$23,TRUE, TRUE)-1,3)</f>
        <v>0.13200000000000001</v>
      </c>
      <c r="E33" s="172">
        <f>ROUND(LOGEST($H$18:$H$23,$A$18:$A$23,TRUE, TRUE)-1,3)</f>
        <v>-8.3000000000000004E-2</v>
      </c>
      <c r="F33" s="173">
        <f>RSQ(LN(F$18:F$23),$A$18:$A$23)</f>
        <v>0.91838718653196993</v>
      </c>
      <c r="G33" s="173">
        <f>RSQ(LN($H$18:$H$23),$A$18:$A$23)</f>
        <v>0.95234202754525277</v>
      </c>
    </row>
    <row r="34" spans="1:7" ht="13.9" x14ac:dyDescent="0.4">
      <c r="A34" s="268"/>
      <c r="B34" s="268"/>
      <c r="C34" s="268"/>
      <c r="D34" s="172"/>
      <c r="E34" s="172"/>
      <c r="F34" s="173"/>
      <c r="G34" s="173"/>
    </row>
    <row r="35" spans="1:7" x14ac:dyDescent="0.35">
      <c r="A35" s="269"/>
      <c r="B35" s="269"/>
      <c r="C35" s="269"/>
    </row>
    <row r="36" spans="1:7" ht="13.9" x14ac:dyDescent="0.4">
      <c r="A36" s="267" t="s">
        <v>427</v>
      </c>
      <c r="B36" s="267"/>
      <c r="C36" s="267"/>
      <c r="F36" s="170" t="s">
        <v>422</v>
      </c>
      <c r="G36" s="170"/>
    </row>
    <row r="37" spans="1:7" ht="13.9" x14ac:dyDescent="0.35">
      <c r="A37" s="269"/>
      <c r="B37" s="269"/>
      <c r="C37" s="269"/>
      <c r="D37" s="171" t="s">
        <v>366</v>
      </c>
      <c r="E37" s="171" t="s">
        <v>372</v>
      </c>
      <c r="F37" s="171" t="s">
        <v>366</v>
      </c>
      <c r="G37" s="171" t="s">
        <v>423</v>
      </c>
    </row>
    <row r="38" spans="1:7" ht="13.9" x14ac:dyDescent="0.35">
      <c r="A38" s="269"/>
      <c r="B38" s="269"/>
      <c r="C38" s="269"/>
      <c r="D38" s="171"/>
      <c r="E38" s="171"/>
      <c r="F38" s="171"/>
      <c r="G38" s="171"/>
    </row>
    <row r="39" spans="1:7" ht="13.9" x14ac:dyDescent="0.4">
      <c r="A39" s="268" t="s">
        <v>424</v>
      </c>
      <c r="B39" s="268"/>
      <c r="C39" s="268"/>
      <c r="D39" s="172">
        <f>ROUND(LOGEST(G$14:G$23,$A$14:$A$23,TRUE, TRUE)-1,3)</f>
        <v>8.5999999999999993E-2</v>
      </c>
      <c r="E39" s="172">
        <f>ROUND(LOGEST($H$14:$H$23,$A$14:$A$23,TRUE, TRUE)-1,3)</f>
        <v>-7.8E-2</v>
      </c>
      <c r="F39" s="173">
        <f>RSQ(LN(G$14:G$23),$A$14:$A$23)</f>
        <v>0.96202203015120435</v>
      </c>
      <c r="G39" s="173">
        <f>RSQ(LN($H$14:$H$23),$A$14:$A$23)</f>
        <v>0.97618463985171744</v>
      </c>
    </row>
    <row r="40" spans="1:7" ht="13.9" x14ac:dyDescent="0.4">
      <c r="A40" s="268"/>
      <c r="B40" s="268"/>
      <c r="C40" s="268"/>
      <c r="D40" s="172"/>
      <c r="E40" s="172"/>
      <c r="F40" s="173"/>
      <c r="G40" s="173"/>
    </row>
    <row r="41" spans="1:7" ht="13.9" x14ac:dyDescent="0.4">
      <c r="A41" s="268" t="s">
        <v>425</v>
      </c>
      <c r="B41" s="268"/>
      <c r="C41" s="268"/>
      <c r="D41" s="172">
        <f>ROUND(LOGEST(G$16:G$23,$A$16:$A$23,TRUE, TRUE)-1,3)</f>
        <v>9.0999999999999998E-2</v>
      </c>
      <c r="E41" s="172">
        <f>ROUND(LOGEST($H$16:$H$23,$A$16:$A$23,TRUE, TRUE)-1,3)</f>
        <v>-7.8E-2</v>
      </c>
      <c r="F41" s="173">
        <f>RSQ(LN(G$16:G$23),$A$16:$A$23)</f>
        <v>0.94410163366060529</v>
      </c>
      <c r="G41" s="173">
        <f>RSQ(LN($H$16:$H$23),$A$16:$A$23)</f>
        <v>0.97433180241808126</v>
      </c>
    </row>
    <row r="42" spans="1:7" ht="13.9" x14ac:dyDescent="0.35">
      <c r="A42" s="269"/>
      <c r="B42" s="269"/>
      <c r="C42" s="269"/>
      <c r="D42" s="172"/>
      <c r="E42" s="172"/>
      <c r="F42" s="173"/>
      <c r="G42" s="173"/>
    </row>
    <row r="43" spans="1:7" ht="13.9" x14ac:dyDescent="0.4">
      <c r="A43" s="268" t="s">
        <v>426</v>
      </c>
      <c r="B43" s="268"/>
      <c r="C43" s="268"/>
      <c r="D43" s="172">
        <f>ROUND(LOGEST(G$18:G$23,$A$18:$A$23,TRUE, TRUE)-1,3)</f>
        <v>0.10299999999999999</v>
      </c>
      <c r="E43" s="172">
        <f>ROUND(LOGEST($H$18:$H$23,$A$18:$A$23,TRUE, TRUE)-1,3)</f>
        <v>-8.3000000000000004E-2</v>
      </c>
      <c r="F43" s="173">
        <f>RSQ(LN(G$18:G$23),$A$18:$A$23)</f>
        <v>0.92165832176447904</v>
      </c>
      <c r="G43" s="173">
        <f>RSQ(LN($H$18:$H$23),$A$18:$A$23)</f>
        <v>0.95234202754525277</v>
      </c>
    </row>
    <row r="44" spans="1:7" x14ac:dyDescent="0.35">
      <c r="A44" s="269"/>
      <c r="B44" s="269"/>
      <c r="C44" s="269"/>
    </row>
    <row r="45" spans="1:7" ht="13.9" x14ac:dyDescent="0.4">
      <c r="A45" s="268" t="s">
        <v>428</v>
      </c>
      <c r="B45" s="268"/>
      <c r="C45" s="268"/>
      <c r="D45" s="172">
        <f>DZ_INPUTS!B35</f>
        <v>0.09</v>
      </c>
      <c r="E45" s="172">
        <f>DZ_INPUTS!C35</f>
        <v>-0.08</v>
      </c>
    </row>
    <row r="47" spans="1:7" ht="13.9" x14ac:dyDescent="0.4">
      <c r="A47" s="174" t="s">
        <v>429</v>
      </c>
    </row>
    <row r="48" spans="1:7" x14ac:dyDescent="0.35">
      <c r="B48" s="84" t="s">
        <v>430</v>
      </c>
    </row>
  </sheetData>
  <mergeCells count="29">
    <mergeCell ref="A41:C41"/>
    <mergeCell ref="A42:C42"/>
    <mergeCell ref="A43:C43"/>
    <mergeCell ref="A44:C44"/>
    <mergeCell ref="A45:C45"/>
    <mergeCell ref="A40:C40"/>
    <mergeCell ref="A29:C29"/>
    <mergeCell ref="A30:C30"/>
    <mergeCell ref="A31:C31"/>
    <mergeCell ref="A32:C32"/>
    <mergeCell ref="A33:C33"/>
    <mergeCell ref="A34:C34"/>
    <mergeCell ref="A35:C35"/>
    <mergeCell ref="A36:C36"/>
    <mergeCell ref="A37:C37"/>
    <mergeCell ref="A38:C38"/>
    <mergeCell ref="A39:C39"/>
    <mergeCell ref="A28:C28"/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26:C26"/>
    <mergeCell ref="A27:C27"/>
  </mergeCells>
  <printOptions horizontalCentered="1"/>
  <pageMargins left="0.25" right="0.25" top="0.75" bottom="0.75" header="0.3" footer="0.3"/>
  <pageSetup scale="99" firstPageNumber="0" orientation="portrait" useFirstPageNumber="1" r:id="rId1"/>
  <headerFooter>
    <oddHeader>&amp;L&amp;"Times New Roman"&amp;9INSURANCE SERVICES OFFICE, INC.</oddHeader>
    <oddFooter>&amp;C&amp;"Times New Roman"&amp;9© Insurance Services Office, Inc., 2022        		OREGON        BP-2021-RLA1&amp;R&amp;"Times New Roman"&amp;9&amp;A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78EF14-A508-4830-9A19-C099D81481A9}">
  <dimension ref="A1:K93"/>
  <sheetViews>
    <sheetView workbookViewId="0"/>
  </sheetViews>
  <sheetFormatPr defaultColWidth="9" defaultRowHeight="13.9" x14ac:dyDescent="0.4"/>
  <cols>
    <col min="1" max="1" width="28.86328125" style="23" customWidth="1"/>
    <col min="2" max="2" width="17.1328125" style="23" customWidth="1"/>
    <col min="3" max="3" width="16.265625" style="23" customWidth="1"/>
    <col min="4" max="4" width="19.1328125" style="23" customWidth="1"/>
    <col min="5" max="5" width="20.1328125" style="23" bestFit="1" customWidth="1"/>
    <col min="6" max="6" width="3.1328125" style="23" customWidth="1"/>
    <col min="7" max="7" width="7.73046875" style="23" customWidth="1"/>
    <col min="8" max="8" width="11" style="23" customWidth="1"/>
    <col min="9" max="9" width="11.3984375" style="23" customWidth="1"/>
    <col min="10" max="10" width="18" style="23" bestFit="1" customWidth="1"/>
    <col min="11" max="11" width="20.1328125" style="23" bestFit="1" customWidth="1"/>
    <col min="12" max="16384" width="9" style="23"/>
  </cols>
  <sheetData>
    <row r="1" spans="1:2" x14ac:dyDescent="0.4">
      <c r="A1" s="22" t="s">
        <v>97</v>
      </c>
      <c r="B1" s="23" t="s">
        <v>617</v>
      </c>
    </row>
    <row r="3" spans="1:2" x14ac:dyDescent="0.4">
      <c r="A3" s="22" t="s">
        <v>98</v>
      </c>
      <c r="B3" s="24">
        <v>44104</v>
      </c>
    </row>
    <row r="4" spans="1:2" x14ac:dyDescent="0.4">
      <c r="A4" s="22" t="s">
        <v>99</v>
      </c>
      <c r="B4" s="24">
        <v>44287</v>
      </c>
    </row>
    <row r="5" spans="1:2" x14ac:dyDescent="0.4">
      <c r="A5" s="22" t="s">
        <v>100</v>
      </c>
      <c r="B5" s="24">
        <v>44621</v>
      </c>
    </row>
    <row r="8" spans="1:2" x14ac:dyDescent="0.4">
      <c r="A8" s="25" t="s">
        <v>101</v>
      </c>
    </row>
    <row r="9" spans="1:2" x14ac:dyDescent="0.4">
      <c r="A9" s="23">
        <f t="shared" ref="A9:A11" si="0">A10-1</f>
        <v>2016</v>
      </c>
      <c r="B9" s="26">
        <v>1.0229999999999999</v>
      </c>
    </row>
    <row r="10" spans="1:2" x14ac:dyDescent="0.4">
      <c r="A10" s="23">
        <f t="shared" si="0"/>
        <v>2017</v>
      </c>
      <c r="B10" s="26">
        <v>1.0569999999999999</v>
      </c>
    </row>
    <row r="11" spans="1:2" x14ac:dyDescent="0.4">
      <c r="A11" s="23">
        <f t="shared" si="0"/>
        <v>2018</v>
      </c>
      <c r="B11" s="26">
        <v>1.1739999999999999</v>
      </c>
    </row>
    <row r="12" spans="1:2" x14ac:dyDescent="0.4">
      <c r="A12" s="23">
        <f>A13-1</f>
        <v>2019</v>
      </c>
      <c r="B12" s="26">
        <v>1.5109999999999999</v>
      </c>
    </row>
    <row r="13" spans="1:2" x14ac:dyDescent="0.4">
      <c r="A13" s="23">
        <f>YEAR($B$3)</f>
        <v>2020</v>
      </c>
      <c r="B13" s="26">
        <v>2.0990000000000002</v>
      </c>
    </row>
    <row r="15" spans="1:2" x14ac:dyDescent="0.4">
      <c r="A15" s="25" t="s">
        <v>102</v>
      </c>
      <c r="B15" s="27"/>
    </row>
    <row r="16" spans="1:2" x14ac:dyDescent="0.4">
      <c r="A16" s="22" t="s">
        <v>103</v>
      </c>
      <c r="B16" s="26">
        <v>1.0900000000000001</v>
      </c>
    </row>
    <row r="17" spans="1:5" x14ac:dyDescent="0.4">
      <c r="A17" s="22" t="s">
        <v>104</v>
      </c>
      <c r="B17" s="26">
        <v>1.1100000000000001</v>
      </c>
    </row>
    <row r="18" spans="1:5" x14ac:dyDescent="0.4">
      <c r="A18" s="22" t="s">
        <v>105</v>
      </c>
      <c r="B18" s="26">
        <v>1.1100000000000001</v>
      </c>
    </row>
    <row r="19" spans="1:5" x14ac:dyDescent="0.4">
      <c r="A19" s="22" t="s">
        <v>106</v>
      </c>
      <c r="B19" s="26">
        <v>1.19</v>
      </c>
    </row>
    <row r="20" spans="1:5" x14ac:dyDescent="0.4">
      <c r="A20" s="22" t="s">
        <v>107</v>
      </c>
      <c r="B20" s="26">
        <v>1.08</v>
      </c>
    </row>
    <row r="23" spans="1:5" x14ac:dyDescent="0.4">
      <c r="A23" s="25" t="s">
        <v>108</v>
      </c>
    </row>
    <row r="24" spans="1:5" x14ac:dyDescent="0.4">
      <c r="A24" s="27"/>
    </row>
    <row r="25" spans="1:5" ht="41.65" x14ac:dyDescent="0.4">
      <c r="A25" s="27" t="s">
        <v>109</v>
      </c>
      <c r="B25" s="28" t="s">
        <v>110</v>
      </c>
      <c r="C25" s="28" t="s">
        <v>111</v>
      </c>
      <c r="D25" s="28" t="s">
        <v>112</v>
      </c>
      <c r="E25" s="28" t="s">
        <v>113</v>
      </c>
    </row>
    <row r="26" spans="1:5" x14ac:dyDescent="0.4">
      <c r="A26" s="23">
        <f t="shared" ref="A26:A28" si="1">A27-1</f>
        <v>2016</v>
      </c>
      <c r="B26" s="29">
        <f t="shared" ref="B26:B28" si="2">DATE(YEAR(B27)-1,MONTH(B27),DAY(B27))</f>
        <v>42461</v>
      </c>
      <c r="C26" s="29">
        <f>DATE(YEAR($B$5)+1,MONTH($B$5),DAY($B$5))</f>
        <v>44986</v>
      </c>
      <c r="D26" s="23">
        <f>DATEDIF(B26,C26,"m")</f>
        <v>83</v>
      </c>
      <c r="E26" s="23">
        <f>ROUND(D26/12,2)</f>
        <v>6.92</v>
      </c>
    </row>
    <row r="27" spans="1:5" x14ac:dyDescent="0.4">
      <c r="A27" s="23">
        <f t="shared" si="1"/>
        <v>2017</v>
      </c>
      <c r="B27" s="29">
        <f t="shared" si="2"/>
        <v>42826</v>
      </c>
      <c r="C27" s="29">
        <f t="shared" ref="C27:C30" si="3">DATE(YEAR($B$5)+1,MONTH($B$5),DAY($B$5))</f>
        <v>44986</v>
      </c>
      <c r="D27" s="23">
        <f t="shared" ref="D27:D30" si="4">DATEDIF(B27,C27,"m")</f>
        <v>71</v>
      </c>
      <c r="E27" s="23">
        <f t="shared" ref="E27:E30" si="5">ROUND(D27/12,2)</f>
        <v>5.92</v>
      </c>
    </row>
    <row r="28" spans="1:5" x14ac:dyDescent="0.4">
      <c r="A28" s="23">
        <f t="shared" si="1"/>
        <v>2018</v>
      </c>
      <c r="B28" s="29">
        <f t="shared" si="2"/>
        <v>43191</v>
      </c>
      <c r="C28" s="29">
        <f t="shared" si="3"/>
        <v>44986</v>
      </c>
      <c r="D28" s="23">
        <f t="shared" si="4"/>
        <v>59</v>
      </c>
      <c r="E28" s="23">
        <f t="shared" si="5"/>
        <v>4.92</v>
      </c>
    </row>
    <row r="29" spans="1:5" x14ac:dyDescent="0.4">
      <c r="A29" s="23">
        <f>A30-1</f>
        <v>2019</v>
      </c>
      <c r="B29" s="29">
        <f>DATE(YEAR(B30)-1,MONTH(B30),DAY(B30))</f>
        <v>43556</v>
      </c>
      <c r="C29" s="29">
        <f t="shared" si="3"/>
        <v>44986</v>
      </c>
      <c r="D29" s="23">
        <f t="shared" si="4"/>
        <v>47</v>
      </c>
      <c r="E29" s="23">
        <f t="shared" si="5"/>
        <v>3.92</v>
      </c>
    </row>
    <row r="30" spans="1:5" x14ac:dyDescent="0.4">
      <c r="A30" s="23">
        <f>YEAR($B$3)</f>
        <v>2020</v>
      </c>
      <c r="B30" s="29">
        <f>DATE(YEAR(DZ_INPUTS!B3),MONTH(DZ_INPUTS!B3)-5,1)</f>
        <v>43922</v>
      </c>
      <c r="C30" s="29">
        <f t="shared" si="3"/>
        <v>44986</v>
      </c>
      <c r="D30" s="23">
        <f t="shared" si="4"/>
        <v>35</v>
      </c>
      <c r="E30" s="23">
        <f t="shared" si="5"/>
        <v>2.92</v>
      </c>
    </row>
    <row r="31" spans="1:5" x14ac:dyDescent="0.4">
      <c r="B31" s="30"/>
      <c r="C31" s="30"/>
    </row>
    <row r="32" spans="1:5" x14ac:dyDescent="0.4">
      <c r="A32" s="27" t="s">
        <v>114</v>
      </c>
      <c r="B32" s="30"/>
      <c r="C32" s="30"/>
    </row>
    <row r="33" spans="1:11" ht="27.75" x14ac:dyDescent="0.4">
      <c r="B33" s="31" t="s">
        <v>115</v>
      </c>
      <c r="C33" s="31" t="s">
        <v>116</v>
      </c>
    </row>
    <row r="34" spans="1:11" x14ac:dyDescent="0.4">
      <c r="A34" s="22" t="s">
        <v>117</v>
      </c>
      <c r="B34" s="32">
        <v>0.08</v>
      </c>
      <c r="C34" s="32">
        <v>-0.06</v>
      </c>
    </row>
    <row r="35" spans="1:11" x14ac:dyDescent="0.4">
      <c r="A35" s="22" t="s">
        <v>118</v>
      </c>
      <c r="B35" s="32">
        <v>0.09</v>
      </c>
      <c r="C35" s="32">
        <v>-0.08</v>
      </c>
    </row>
    <row r="36" spans="1:11" x14ac:dyDescent="0.4">
      <c r="A36" s="22" t="s">
        <v>119</v>
      </c>
      <c r="B36" s="32">
        <v>0.1</v>
      </c>
      <c r="C36" s="32"/>
    </row>
    <row r="37" spans="1:11" x14ac:dyDescent="0.4">
      <c r="A37" s="22" t="s">
        <v>120</v>
      </c>
      <c r="B37" s="32">
        <v>0.06</v>
      </c>
      <c r="C37" s="32"/>
    </row>
    <row r="38" spans="1:11" x14ac:dyDescent="0.4">
      <c r="A38" s="22" t="s">
        <v>121</v>
      </c>
      <c r="B38" s="32">
        <v>0.06</v>
      </c>
      <c r="C38" s="32"/>
    </row>
    <row r="39" spans="1:11" x14ac:dyDescent="0.4">
      <c r="A39" s="22" t="s">
        <v>122</v>
      </c>
      <c r="B39" s="32">
        <v>6.5000000000000002E-2</v>
      </c>
      <c r="C39" s="32"/>
    </row>
    <row r="40" spans="1:11" x14ac:dyDescent="0.4">
      <c r="A40" s="22" t="s">
        <v>123</v>
      </c>
      <c r="B40" s="32">
        <v>0.04</v>
      </c>
      <c r="C40" s="32">
        <v>-1.4999999999999999E-2</v>
      </c>
    </row>
    <row r="41" spans="1:11" x14ac:dyDescent="0.4">
      <c r="A41" s="22" t="s">
        <v>124</v>
      </c>
      <c r="B41" s="32">
        <v>7.4999999999999997E-2</v>
      </c>
      <c r="C41" s="32">
        <v>-6.5000000000000002E-2</v>
      </c>
    </row>
    <row r="42" spans="1:11" x14ac:dyDescent="0.4">
      <c r="A42" s="22" t="s">
        <v>125</v>
      </c>
      <c r="B42" s="32">
        <v>0.12</v>
      </c>
      <c r="C42" s="32">
        <v>-0.11</v>
      </c>
    </row>
    <row r="43" spans="1:11" x14ac:dyDescent="0.4">
      <c r="A43" s="22" t="s">
        <v>126</v>
      </c>
      <c r="B43" s="32">
        <v>0.14499999999999999</v>
      </c>
      <c r="C43" s="32">
        <v>-0.08</v>
      </c>
    </row>
    <row r="44" spans="1:11" x14ac:dyDescent="0.4">
      <c r="A44" s="22" t="s">
        <v>127</v>
      </c>
      <c r="B44" s="32">
        <v>0.08</v>
      </c>
      <c r="C44" s="32">
        <v>-0.06</v>
      </c>
    </row>
    <row r="45" spans="1:11" x14ac:dyDescent="0.4">
      <c r="B45" s="30"/>
      <c r="C45" s="30"/>
    </row>
    <row r="46" spans="1:11" x14ac:dyDescent="0.4">
      <c r="A46" s="27" t="s">
        <v>128</v>
      </c>
      <c r="G46" s="33" t="s">
        <v>129</v>
      </c>
    </row>
    <row r="47" spans="1:11" ht="41.65" x14ac:dyDescent="0.4">
      <c r="B47" s="31" t="s">
        <v>130</v>
      </c>
      <c r="C47" s="31" t="s">
        <v>131</v>
      </c>
      <c r="D47" s="23" t="s">
        <v>132</v>
      </c>
      <c r="E47" s="23" t="s">
        <v>133</v>
      </c>
      <c r="H47" s="31" t="s">
        <v>130</v>
      </c>
      <c r="I47" s="31" t="s">
        <v>131</v>
      </c>
      <c r="J47" s="23" t="s">
        <v>132</v>
      </c>
      <c r="K47" s="23" t="s">
        <v>133</v>
      </c>
    </row>
    <row r="48" spans="1:11" x14ac:dyDescent="0.4">
      <c r="A48" s="22" t="s">
        <v>134</v>
      </c>
      <c r="B48" s="34">
        <v>1.04</v>
      </c>
      <c r="C48" s="35">
        <f>1+B34</f>
        <v>1.08</v>
      </c>
      <c r="D48" s="35">
        <f>ROUND((ROUND(C48/B48,3)-1)*(2/3)+1,3)</f>
        <v>1.0249999999999999</v>
      </c>
      <c r="E48" s="34">
        <v>0.94</v>
      </c>
      <c r="G48" s="36" t="s">
        <v>134</v>
      </c>
      <c r="H48" s="34">
        <v>1.016</v>
      </c>
      <c r="I48" s="35">
        <f>1+B35</f>
        <v>1.0900000000000001</v>
      </c>
      <c r="J48" s="35">
        <f>ROUND((ROUND(I48/H48,3)-1)*(2/3)+1,3)</f>
        <v>1.0489999999999999</v>
      </c>
      <c r="K48" s="34">
        <v>0.92</v>
      </c>
    </row>
    <row r="49" spans="1:11" x14ac:dyDescent="0.4">
      <c r="A49" s="22" t="s">
        <v>135</v>
      </c>
      <c r="B49" s="34">
        <v>1.04</v>
      </c>
      <c r="C49" s="35">
        <f>1+B36</f>
        <v>1.1000000000000001</v>
      </c>
      <c r="D49" s="35">
        <f t="shared" ref="D49:D50" si="6">ROUND((ROUND(C49/B49,3)-1)*(2/3)+1,3)</f>
        <v>1.0389999999999999</v>
      </c>
      <c r="E49" s="34">
        <v>1</v>
      </c>
      <c r="G49" s="36" t="s">
        <v>135</v>
      </c>
      <c r="H49" s="34">
        <v>1.016</v>
      </c>
      <c r="I49" s="35">
        <f>1+B37</f>
        <v>1.06</v>
      </c>
      <c r="J49" s="35">
        <f t="shared" ref="J49:J50" si="7">ROUND((ROUND(I49/H49,3)-1)*(2/3)+1,3)</f>
        <v>1.0289999999999999</v>
      </c>
      <c r="K49" s="34">
        <v>1</v>
      </c>
    </row>
    <row r="50" spans="1:11" x14ac:dyDescent="0.4">
      <c r="A50" s="22" t="s">
        <v>136</v>
      </c>
      <c r="B50" s="34">
        <v>1.04</v>
      </c>
      <c r="C50" s="35">
        <f>1+B38</f>
        <v>1.06</v>
      </c>
      <c r="D50" s="35">
        <f t="shared" si="6"/>
        <v>1.0129999999999999</v>
      </c>
      <c r="E50" s="34">
        <v>1</v>
      </c>
      <c r="G50" s="36" t="s">
        <v>136</v>
      </c>
      <c r="H50" s="34">
        <v>1.016</v>
      </c>
      <c r="I50" s="35">
        <f>1+B39</f>
        <v>1.0649999999999999</v>
      </c>
      <c r="J50" s="35">
        <f t="shared" si="7"/>
        <v>1.032</v>
      </c>
      <c r="K50" s="34">
        <v>1</v>
      </c>
    </row>
    <row r="51" spans="1:11" x14ac:dyDescent="0.4">
      <c r="B51" s="30"/>
      <c r="C51" s="30"/>
    </row>
    <row r="52" spans="1:11" x14ac:dyDescent="0.4">
      <c r="A52" s="27" t="s">
        <v>137</v>
      </c>
    </row>
    <row r="53" spans="1:11" x14ac:dyDescent="0.4">
      <c r="B53" s="237" t="s">
        <v>138</v>
      </c>
      <c r="C53" s="237"/>
      <c r="D53" s="237"/>
      <c r="E53" s="237"/>
      <c r="F53" s="37"/>
      <c r="H53" s="238" t="s">
        <v>139</v>
      </c>
      <c r="I53" s="238"/>
      <c r="J53" s="238"/>
      <c r="K53" s="238"/>
    </row>
    <row r="54" spans="1:11" x14ac:dyDescent="0.4">
      <c r="B54" s="38" t="s">
        <v>140</v>
      </c>
      <c r="C54" s="38" t="s">
        <v>141</v>
      </c>
      <c r="D54" s="38" t="s">
        <v>142</v>
      </c>
      <c r="E54" s="38" t="s">
        <v>143</v>
      </c>
      <c r="F54" s="38"/>
      <c r="H54" s="38" t="s">
        <v>140</v>
      </c>
      <c r="I54" s="38" t="s">
        <v>141</v>
      </c>
      <c r="J54" s="38" t="s">
        <v>142</v>
      </c>
      <c r="K54" s="38" t="s">
        <v>143</v>
      </c>
    </row>
    <row r="55" spans="1:11" x14ac:dyDescent="0.4">
      <c r="A55" s="23">
        <f t="shared" ref="A55:A57" si="8">A56-1</f>
        <v>2016</v>
      </c>
      <c r="B55" s="34">
        <v>1.2290000000000001</v>
      </c>
      <c r="C55" s="34">
        <v>1.0880000000000001</v>
      </c>
      <c r="D55" s="35">
        <f>ROUND($D$48^E26,3)</f>
        <v>1.1859999999999999</v>
      </c>
      <c r="E55" s="35">
        <f>ROUND($E$48^E26,3)</f>
        <v>0.65200000000000002</v>
      </c>
      <c r="F55" s="35"/>
      <c r="G55" s="23">
        <f>A55</f>
        <v>2016</v>
      </c>
      <c r="H55" s="34">
        <v>1.1000000000000001</v>
      </c>
      <c r="I55" s="34">
        <v>1.0329999999999999</v>
      </c>
      <c r="J55" s="35">
        <f>ROUND($J$48^E26,3)</f>
        <v>1.3919999999999999</v>
      </c>
      <c r="K55" s="35">
        <f>ROUND($K$48^E26,3)</f>
        <v>0.56200000000000006</v>
      </c>
    </row>
    <row r="56" spans="1:11" x14ac:dyDescent="0.4">
      <c r="A56" s="23">
        <f t="shared" si="8"/>
        <v>2017</v>
      </c>
      <c r="B56" s="34">
        <v>1.198</v>
      </c>
      <c r="C56" s="34">
        <v>1.0880000000000001</v>
      </c>
      <c r="D56" s="35">
        <f>ROUND($D$48^E27,3)</f>
        <v>1.157</v>
      </c>
      <c r="E56" s="35">
        <f>ROUND($E$48^E27,3)</f>
        <v>0.69299999999999995</v>
      </c>
      <c r="F56" s="35"/>
      <c r="G56" s="23">
        <f t="shared" ref="G56:G59" si="9">A56</f>
        <v>2017</v>
      </c>
      <c r="H56" s="34">
        <v>1.0860000000000001</v>
      </c>
      <c r="I56" s="34">
        <v>1.0329999999999999</v>
      </c>
      <c r="J56" s="35">
        <f>ROUND($J$48^E27,3)</f>
        <v>1.327</v>
      </c>
      <c r="K56" s="35">
        <f>ROUND($K$48^E27,3)</f>
        <v>0.61</v>
      </c>
    </row>
    <row r="57" spans="1:11" x14ac:dyDescent="0.4">
      <c r="A57" s="23">
        <f t="shared" si="8"/>
        <v>2018</v>
      </c>
      <c r="B57" s="34">
        <v>1.1619999999999999</v>
      </c>
      <c r="C57" s="34">
        <v>1.0880000000000001</v>
      </c>
      <c r="D57" s="35">
        <f>ROUND($D$48^E28,3)</f>
        <v>1.129</v>
      </c>
      <c r="E57" s="35">
        <f>ROUND($E$48^E28,3)</f>
        <v>0.73799999999999999</v>
      </c>
      <c r="F57" s="35"/>
      <c r="G57" s="23">
        <f t="shared" si="9"/>
        <v>2018</v>
      </c>
      <c r="H57" s="34">
        <v>1.0669999999999999</v>
      </c>
      <c r="I57" s="34">
        <v>1.0329999999999999</v>
      </c>
      <c r="J57" s="35">
        <f>ROUND($J$48^E28,3)</f>
        <v>1.2649999999999999</v>
      </c>
      <c r="K57" s="35">
        <f>ROUND($K$48^E28,3)</f>
        <v>0.66300000000000003</v>
      </c>
    </row>
    <row r="58" spans="1:11" x14ac:dyDescent="0.4">
      <c r="A58" s="23">
        <f>A59-1</f>
        <v>2019</v>
      </c>
      <c r="B58" s="34">
        <v>1.1299999999999999</v>
      </c>
      <c r="C58" s="34">
        <v>1.0880000000000001</v>
      </c>
      <c r="D58" s="35">
        <f>ROUND($D$48^E29,3)</f>
        <v>1.1020000000000001</v>
      </c>
      <c r="E58" s="35">
        <f>ROUND($E$48^E29,3)</f>
        <v>0.78500000000000003</v>
      </c>
      <c r="F58" s="35"/>
      <c r="G58" s="23">
        <f t="shared" si="9"/>
        <v>2019</v>
      </c>
      <c r="H58" s="34">
        <v>1.044</v>
      </c>
      <c r="I58" s="34">
        <v>1.0329999999999999</v>
      </c>
      <c r="J58" s="35">
        <f>ROUND($J$48^E29,3)</f>
        <v>1.206</v>
      </c>
      <c r="K58" s="35">
        <f>ROUND($K$48^E29,3)</f>
        <v>0.72099999999999997</v>
      </c>
    </row>
    <row r="59" spans="1:11" x14ac:dyDescent="0.4">
      <c r="A59" s="23">
        <f>YEAR($B$3)</f>
        <v>2020</v>
      </c>
      <c r="B59" s="34">
        <v>1.083</v>
      </c>
      <c r="C59" s="34">
        <v>1.0880000000000001</v>
      </c>
      <c r="D59" s="35">
        <f>ROUND($D$48^E30,3)</f>
        <v>1.075</v>
      </c>
      <c r="E59" s="35">
        <f>ROUND($E$48^E30,3)</f>
        <v>0.83499999999999996</v>
      </c>
      <c r="F59" s="35"/>
      <c r="G59" s="23">
        <f t="shared" si="9"/>
        <v>2020</v>
      </c>
      <c r="H59" s="34">
        <v>1.03</v>
      </c>
      <c r="I59" s="34">
        <v>1.0329999999999999</v>
      </c>
      <c r="J59" s="35">
        <f>ROUND($J$48^E30,3)</f>
        <v>1.1499999999999999</v>
      </c>
      <c r="K59" s="35">
        <f>ROUND($K$48^E30,3)</f>
        <v>0.78400000000000003</v>
      </c>
    </row>
    <row r="60" spans="1:11" x14ac:dyDescent="0.4">
      <c r="B60" s="39"/>
      <c r="C60" s="39"/>
      <c r="D60" s="39"/>
      <c r="E60" s="39"/>
      <c r="F60" s="39"/>
      <c r="G60" s="39"/>
      <c r="H60" s="39"/>
    </row>
    <row r="61" spans="1:11" x14ac:dyDescent="0.4">
      <c r="A61" s="27" t="s">
        <v>144</v>
      </c>
      <c r="B61" s="39"/>
      <c r="C61" s="39"/>
      <c r="D61" s="39"/>
      <c r="E61" s="39"/>
      <c r="F61" s="39"/>
      <c r="G61" s="39"/>
      <c r="H61" s="39"/>
    </row>
    <row r="62" spans="1:11" x14ac:dyDescent="0.4">
      <c r="B62" s="238" t="s">
        <v>138</v>
      </c>
      <c r="C62" s="238"/>
      <c r="D62" s="238"/>
      <c r="E62" s="238"/>
      <c r="F62" s="40"/>
      <c r="H62" s="238" t="s">
        <v>139</v>
      </c>
      <c r="I62" s="238"/>
      <c r="J62" s="238"/>
      <c r="K62" s="238"/>
    </row>
    <row r="63" spans="1:11" x14ac:dyDescent="0.4">
      <c r="B63" s="38" t="s">
        <v>140</v>
      </c>
      <c r="C63" s="38" t="s">
        <v>141</v>
      </c>
      <c r="D63" s="38" t="s">
        <v>142</v>
      </c>
      <c r="E63" s="38" t="s">
        <v>143</v>
      </c>
      <c r="F63" s="38"/>
      <c r="H63" s="38" t="s">
        <v>140</v>
      </c>
      <c r="I63" s="38" t="s">
        <v>141</v>
      </c>
      <c r="J63" s="38" t="s">
        <v>142</v>
      </c>
      <c r="K63" s="38" t="s">
        <v>143</v>
      </c>
    </row>
    <row r="64" spans="1:11" x14ac:dyDescent="0.4">
      <c r="A64" s="23">
        <f t="shared" ref="A64:A66" si="10">A65-1</f>
        <v>2016</v>
      </c>
      <c r="B64" s="34">
        <v>1.2290000000000001</v>
      </c>
      <c r="C64" s="34">
        <v>1.0880000000000001</v>
      </c>
      <c r="D64" s="35">
        <f>ROUND($D$49^E26,3)</f>
        <v>1.3029999999999999</v>
      </c>
      <c r="E64" s="35">
        <f>ROUND($E$49^E26,3)</f>
        <v>1</v>
      </c>
      <c r="F64" s="35"/>
      <c r="G64" s="23">
        <f>A64</f>
        <v>2016</v>
      </c>
      <c r="H64" s="34">
        <v>1.1000000000000001</v>
      </c>
      <c r="I64" s="34">
        <v>1.0329999999999999</v>
      </c>
      <c r="J64" s="35">
        <f>ROUND($J$49^E26,3)</f>
        <v>1.2190000000000001</v>
      </c>
      <c r="K64" s="35">
        <f>ROUND($K$49^E26,3)</f>
        <v>1</v>
      </c>
    </row>
    <row r="65" spans="1:11" x14ac:dyDescent="0.4">
      <c r="A65" s="23">
        <f t="shared" si="10"/>
        <v>2017</v>
      </c>
      <c r="B65" s="34">
        <v>1.198</v>
      </c>
      <c r="C65" s="34">
        <v>1.0880000000000001</v>
      </c>
      <c r="D65" s="35">
        <f>ROUND($D$49^E27,3)</f>
        <v>1.254</v>
      </c>
      <c r="E65" s="35">
        <f>ROUND($E$49^E27,3)</f>
        <v>1</v>
      </c>
      <c r="F65" s="35"/>
      <c r="G65" s="23">
        <f t="shared" ref="G65:G68" si="11">A65</f>
        <v>2017</v>
      </c>
      <c r="H65" s="34">
        <v>1.0860000000000001</v>
      </c>
      <c r="I65" s="34">
        <v>1.0329999999999999</v>
      </c>
      <c r="J65" s="35">
        <f>ROUND($J$49^E27,3)</f>
        <v>1.1839999999999999</v>
      </c>
      <c r="K65" s="35">
        <f>ROUND($K$49^E27,3)</f>
        <v>1</v>
      </c>
    </row>
    <row r="66" spans="1:11" x14ac:dyDescent="0.4">
      <c r="A66" s="23">
        <f t="shared" si="10"/>
        <v>2018</v>
      </c>
      <c r="B66" s="34">
        <v>1.1619999999999999</v>
      </c>
      <c r="C66" s="34">
        <v>1.0880000000000001</v>
      </c>
      <c r="D66" s="35">
        <f>ROUND($D$49^E28,3)</f>
        <v>1.2070000000000001</v>
      </c>
      <c r="E66" s="35">
        <f>ROUND($E$49^E28,3)</f>
        <v>1</v>
      </c>
      <c r="F66" s="35"/>
      <c r="G66" s="23">
        <f t="shared" si="11"/>
        <v>2018</v>
      </c>
      <c r="H66" s="34">
        <v>1.0669999999999999</v>
      </c>
      <c r="I66" s="34">
        <v>1.0329999999999999</v>
      </c>
      <c r="J66" s="35">
        <f>ROUND($J$49^E28,3)</f>
        <v>1.151</v>
      </c>
      <c r="K66" s="35">
        <f>ROUND($K$49^E28,3)</f>
        <v>1</v>
      </c>
    </row>
    <row r="67" spans="1:11" x14ac:dyDescent="0.4">
      <c r="A67" s="23">
        <f>A68-1</f>
        <v>2019</v>
      </c>
      <c r="B67" s="34">
        <v>1.1299999999999999</v>
      </c>
      <c r="C67" s="34">
        <v>1.0880000000000001</v>
      </c>
      <c r="D67" s="35">
        <f>ROUND($D$49^E29,3)</f>
        <v>1.1619999999999999</v>
      </c>
      <c r="E67" s="35">
        <f>ROUND($E$49^E29,3)</f>
        <v>1</v>
      </c>
      <c r="F67" s="35"/>
      <c r="G67" s="23">
        <f t="shared" si="11"/>
        <v>2019</v>
      </c>
      <c r="H67" s="34">
        <v>1.044</v>
      </c>
      <c r="I67" s="34">
        <v>1.0329999999999999</v>
      </c>
      <c r="J67" s="35">
        <f>ROUND($J$49^E29,3)</f>
        <v>1.119</v>
      </c>
      <c r="K67" s="35">
        <f>ROUND($K$49^E29,3)</f>
        <v>1</v>
      </c>
    </row>
    <row r="68" spans="1:11" x14ac:dyDescent="0.4">
      <c r="A68" s="23">
        <f>YEAR($B$3)</f>
        <v>2020</v>
      </c>
      <c r="B68" s="34">
        <v>1.083</v>
      </c>
      <c r="C68" s="34">
        <v>1.0880000000000001</v>
      </c>
      <c r="D68" s="35">
        <f>ROUND($D$49^E30,3)</f>
        <v>1.1180000000000001</v>
      </c>
      <c r="E68" s="35">
        <f>ROUND($E$49^E30,3)</f>
        <v>1</v>
      </c>
      <c r="F68" s="35"/>
      <c r="G68" s="23">
        <f t="shared" si="11"/>
        <v>2020</v>
      </c>
      <c r="H68" s="34">
        <v>1.03</v>
      </c>
      <c r="I68" s="34">
        <v>1.0329999999999999</v>
      </c>
      <c r="J68" s="35">
        <f>ROUND($J$49^E30,3)</f>
        <v>1.087</v>
      </c>
      <c r="K68" s="35">
        <f>ROUND($K$49^E30,3)</f>
        <v>1</v>
      </c>
    </row>
    <row r="69" spans="1:11" x14ac:dyDescent="0.4">
      <c r="B69" s="39"/>
      <c r="C69" s="39"/>
      <c r="D69" s="39"/>
      <c r="E69" s="39"/>
      <c r="F69" s="39"/>
    </row>
    <row r="70" spans="1:11" x14ac:dyDescent="0.4">
      <c r="A70" s="27" t="s">
        <v>145</v>
      </c>
      <c r="B70" s="39"/>
      <c r="C70" s="39"/>
      <c r="D70" s="39"/>
      <c r="E70" s="39"/>
      <c r="F70" s="39"/>
      <c r="G70" s="39"/>
      <c r="H70" s="39"/>
    </row>
    <row r="71" spans="1:11" x14ac:dyDescent="0.4">
      <c r="B71" s="238" t="s">
        <v>138</v>
      </c>
      <c r="C71" s="238"/>
      <c r="D71" s="238"/>
      <c r="E71" s="238"/>
      <c r="F71" s="40"/>
      <c r="H71" s="238" t="s">
        <v>139</v>
      </c>
      <c r="I71" s="238"/>
      <c r="J71" s="238"/>
      <c r="K71" s="238"/>
    </row>
    <row r="72" spans="1:11" x14ac:dyDescent="0.4">
      <c r="B72" s="38" t="s">
        <v>140</v>
      </c>
      <c r="C72" s="38" t="s">
        <v>141</v>
      </c>
      <c r="D72" s="38" t="s">
        <v>142</v>
      </c>
      <c r="E72" s="38" t="s">
        <v>143</v>
      </c>
      <c r="F72" s="38"/>
      <c r="H72" s="38" t="s">
        <v>140</v>
      </c>
      <c r="I72" s="38" t="s">
        <v>141</v>
      </c>
      <c r="J72" s="38" t="s">
        <v>142</v>
      </c>
      <c r="K72" s="38" t="s">
        <v>143</v>
      </c>
    </row>
    <row r="73" spans="1:11" x14ac:dyDescent="0.4">
      <c r="A73" s="23">
        <f t="shared" ref="A73:A75" si="12">A74-1</f>
        <v>2016</v>
      </c>
      <c r="B73" s="34">
        <v>1.2290000000000001</v>
      </c>
      <c r="C73" s="34">
        <v>1.0880000000000001</v>
      </c>
      <c r="D73" s="35">
        <f>ROUND($D$50^E26,3)</f>
        <v>1.093</v>
      </c>
      <c r="E73" s="35">
        <f>ROUND($E$50^E26,3)</f>
        <v>1</v>
      </c>
      <c r="F73" s="35"/>
      <c r="G73" s="23">
        <f>A73</f>
        <v>2016</v>
      </c>
      <c r="H73" s="34">
        <v>1.1000000000000001</v>
      </c>
      <c r="I73" s="34">
        <v>1.0329999999999999</v>
      </c>
      <c r="J73" s="35">
        <f>ROUND($J$50^E26,3)</f>
        <v>1.244</v>
      </c>
      <c r="K73" s="35">
        <f>ROUND($K$50^E26,3)</f>
        <v>1</v>
      </c>
    </row>
    <row r="74" spans="1:11" x14ac:dyDescent="0.4">
      <c r="A74" s="23">
        <f t="shared" si="12"/>
        <v>2017</v>
      </c>
      <c r="B74" s="34">
        <v>1.198</v>
      </c>
      <c r="C74" s="34">
        <v>1.0880000000000001</v>
      </c>
      <c r="D74" s="35">
        <f>ROUND($D$50^E27,3)</f>
        <v>1.079</v>
      </c>
      <c r="E74" s="35">
        <f>ROUND($E$50^E27,3)</f>
        <v>1</v>
      </c>
      <c r="F74" s="35"/>
      <c r="G74" s="23">
        <f t="shared" ref="G74:G77" si="13">A74</f>
        <v>2017</v>
      </c>
      <c r="H74" s="34">
        <v>1.0860000000000001</v>
      </c>
      <c r="I74" s="34">
        <v>1.0329999999999999</v>
      </c>
      <c r="J74" s="35">
        <f>ROUND($J$50^E27,3)</f>
        <v>1.2050000000000001</v>
      </c>
      <c r="K74" s="35">
        <f>ROUND($K$50^E27,3)</f>
        <v>1</v>
      </c>
    </row>
    <row r="75" spans="1:11" x14ac:dyDescent="0.4">
      <c r="A75" s="23">
        <f t="shared" si="12"/>
        <v>2018</v>
      </c>
      <c r="B75" s="34">
        <v>1.1619999999999999</v>
      </c>
      <c r="C75" s="34">
        <v>1.0880000000000001</v>
      </c>
      <c r="D75" s="35">
        <f>ROUND($D$50^E28,3)</f>
        <v>1.0660000000000001</v>
      </c>
      <c r="E75" s="35">
        <f>ROUND($E$50^E28,3)</f>
        <v>1</v>
      </c>
      <c r="F75" s="35"/>
      <c r="G75" s="23">
        <f t="shared" si="13"/>
        <v>2018</v>
      </c>
      <c r="H75" s="34">
        <v>1.0669999999999999</v>
      </c>
      <c r="I75" s="34">
        <v>1.0329999999999999</v>
      </c>
      <c r="J75" s="35">
        <f>ROUND($J$50^E28,3)</f>
        <v>1.1679999999999999</v>
      </c>
      <c r="K75" s="35">
        <f>ROUND($K$50^E28,3)</f>
        <v>1</v>
      </c>
    </row>
    <row r="76" spans="1:11" x14ac:dyDescent="0.4">
      <c r="A76" s="23">
        <f>A77-1</f>
        <v>2019</v>
      </c>
      <c r="B76" s="34">
        <v>1.1299999999999999</v>
      </c>
      <c r="C76" s="34">
        <v>1.0880000000000001</v>
      </c>
      <c r="D76" s="35">
        <f>ROUND($D$50^E29,3)</f>
        <v>1.052</v>
      </c>
      <c r="E76" s="35">
        <f>ROUND($E$50^E29,3)</f>
        <v>1</v>
      </c>
      <c r="F76" s="35"/>
      <c r="G76" s="23">
        <f t="shared" si="13"/>
        <v>2019</v>
      </c>
      <c r="H76" s="34">
        <v>1.044</v>
      </c>
      <c r="I76" s="34">
        <v>1.0329999999999999</v>
      </c>
      <c r="J76" s="35">
        <f>ROUND($J$50^E29,3)</f>
        <v>1.131</v>
      </c>
      <c r="K76" s="35">
        <f>ROUND($K$50^E29,3)</f>
        <v>1</v>
      </c>
    </row>
    <row r="77" spans="1:11" x14ac:dyDescent="0.4">
      <c r="A77" s="23">
        <f>YEAR($B$3)</f>
        <v>2020</v>
      </c>
      <c r="B77" s="34">
        <v>1.083</v>
      </c>
      <c r="C77" s="34">
        <v>1.0880000000000001</v>
      </c>
      <c r="D77" s="35">
        <f>ROUND($D$50^E30,3)</f>
        <v>1.038</v>
      </c>
      <c r="E77" s="35">
        <f>ROUND($E$50^E30,3)</f>
        <v>1</v>
      </c>
      <c r="F77" s="35"/>
      <c r="G77" s="23">
        <f t="shared" si="13"/>
        <v>2020</v>
      </c>
      <c r="H77" s="34">
        <v>1.03</v>
      </c>
      <c r="I77" s="34">
        <v>1.0329999999999999</v>
      </c>
      <c r="J77" s="35">
        <f>ROUND($J$50^E30,3)</f>
        <v>1.0960000000000001</v>
      </c>
      <c r="K77" s="35">
        <f>ROUND($K$50^E30,3)</f>
        <v>1</v>
      </c>
    </row>
    <row r="78" spans="1:11" x14ac:dyDescent="0.4">
      <c r="B78" s="39"/>
      <c r="C78" s="39"/>
      <c r="D78" s="39"/>
      <c r="E78" s="39"/>
      <c r="F78" s="39"/>
    </row>
    <row r="79" spans="1:11" x14ac:dyDescent="0.4">
      <c r="A79" s="27" t="s">
        <v>146</v>
      </c>
      <c r="F79" s="40"/>
      <c r="G79" s="40"/>
      <c r="H79" s="40"/>
    </row>
    <row r="80" spans="1:11" ht="27.75" x14ac:dyDescent="0.4">
      <c r="B80" s="28" t="s">
        <v>147</v>
      </c>
      <c r="C80" s="28" t="s">
        <v>143</v>
      </c>
      <c r="F80" s="35"/>
    </row>
    <row r="81" spans="1:6" x14ac:dyDescent="0.4">
      <c r="A81" s="23">
        <f t="shared" ref="A81:A83" si="14">A82-1</f>
        <v>2016</v>
      </c>
      <c r="B81" s="38">
        <f>ROUND((1+$B$40)^$E26,3)</f>
        <v>1.3120000000000001</v>
      </c>
      <c r="C81" s="38">
        <f>ROUND((1+$C$40)^$E26,3)</f>
        <v>0.90100000000000002</v>
      </c>
      <c r="F81" s="35"/>
    </row>
    <row r="82" spans="1:6" x14ac:dyDescent="0.4">
      <c r="A82" s="23">
        <f t="shared" si="14"/>
        <v>2017</v>
      </c>
      <c r="B82" s="38">
        <f>ROUND((1+$B$40)^$E27,3)</f>
        <v>1.2609999999999999</v>
      </c>
      <c r="C82" s="38">
        <f>ROUND((1+$C$40)^$E27,3)</f>
        <v>0.91400000000000003</v>
      </c>
      <c r="F82" s="35"/>
    </row>
    <row r="83" spans="1:6" x14ac:dyDescent="0.4">
      <c r="A83" s="23">
        <f t="shared" si="14"/>
        <v>2018</v>
      </c>
      <c r="B83" s="38">
        <f>ROUND((1+$B$40)^$E28,3)</f>
        <v>1.2130000000000001</v>
      </c>
      <c r="C83" s="38">
        <f>ROUND((1+$C$40)^$E28,3)</f>
        <v>0.92800000000000005</v>
      </c>
      <c r="F83" s="35"/>
    </row>
    <row r="84" spans="1:6" x14ac:dyDescent="0.4">
      <c r="A84" s="23">
        <f>A85-1</f>
        <v>2019</v>
      </c>
      <c r="B84" s="38">
        <f>ROUND((1+$B$40)^$E29,3)</f>
        <v>1.1659999999999999</v>
      </c>
      <c r="C84" s="38">
        <f>ROUND((1+$C$40)^$E29,3)</f>
        <v>0.94199999999999995</v>
      </c>
      <c r="F84" s="35"/>
    </row>
    <row r="85" spans="1:6" x14ac:dyDescent="0.4">
      <c r="A85" s="23">
        <f>YEAR($B$3)</f>
        <v>2020</v>
      </c>
      <c r="B85" s="38">
        <f>ROUND((1+$B$40)^$E30,3)</f>
        <v>1.121</v>
      </c>
      <c r="C85" s="38">
        <f>ROUND((1+$C$40)^$E30,3)</f>
        <v>0.95699999999999996</v>
      </c>
    </row>
    <row r="87" spans="1:6" x14ac:dyDescent="0.4">
      <c r="A87" s="27" t="s">
        <v>148</v>
      </c>
    </row>
    <row r="88" spans="1:6" ht="27.75" x14ac:dyDescent="0.4">
      <c r="B88" s="28" t="s">
        <v>149</v>
      </c>
      <c r="C88" s="28" t="s">
        <v>150</v>
      </c>
      <c r="D88" s="28" t="s">
        <v>151</v>
      </c>
      <c r="E88" s="28" t="s">
        <v>152</v>
      </c>
    </row>
    <row r="89" spans="1:6" x14ac:dyDescent="0.4">
      <c r="A89" s="23">
        <f t="shared" ref="A89:A91" si="15">A90-1</f>
        <v>2016</v>
      </c>
      <c r="B89" s="35">
        <f>ROUND(ROUND(((1+$B$41)*(1+$C$41)),3)^$E26,3)</f>
        <v>1.0349999999999999</v>
      </c>
      <c r="C89" s="35">
        <f>ROUND(ROUND(((1+$B$42)*(1+$C$42)),3)^$E26,3)</f>
        <v>0.97899999999999998</v>
      </c>
      <c r="D89" s="35">
        <f>ROUND(ROUND(((1+$B$43)*(1+$C$43)),3)^$E26,3)</f>
        <v>1.43</v>
      </c>
      <c r="E89" s="35">
        <f>ROUND(ROUND(((1+$B$44)*(1+$C$44)),3)^$E26,3)</f>
        <v>1.109</v>
      </c>
    </row>
    <row r="90" spans="1:6" x14ac:dyDescent="0.4">
      <c r="A90" s="23">
        <f t="shared" si="15"/>
        <v>2017</v>
      </c>
      <c r="B90" s="35">
        <f>ROUND(ROUND(((1+$B$41)*(1+$C$41)),3)^$E27,3)</f>
        <v>1.03</v>
      </c>
      <c r="C90" s="35">
        <f t="shared" ref="C90:C93" si="16">ROUND(ROUND(((1+$B$42)*(1+$C$42)),3)^$E27,3)</f>
        <v>0.98199999999999998</v>
      </c>
      <c r="D90" s="35">
        <f>ROUND(ROUND(((1+$B$43)*(1+$C$43)),3)^$E27,3)</f>
        <v>1.3580000000000001</v>
      </c>
      <c r="E90" s="35">
        <f>ROUND(ROUND(((1+$B$44)*(1+$C$44)),3)^$E27,3)</f>
        <v>1.0920000000000001</v>
      </c>
    </row>
    <row r="91" spans="1:6" x14ac:dyDescent="0.4">
      <c r="A91" s="23">
        <f t="shared" si="15"/>
        <v>2018</v>
      </c>
      <c r="B91" s="35">
        <f>ROUND(ROUND(((1+$B$41)*(1+$C$41)),3)^$E28,3)</f>
        <v>1.0249999999999999</v>
      </c>
      <c r="C91" s="35">
        <f t="shared" si="16"/>
        <v>0.98499999999999999</v>
      </c>
      <c r="D91" s="35">
        <f>ROUND(ROUND(((1+$B$43)*(1+$C$43)),3)^$E28,3)</f>
        <v>1.2889999999999999</v>
      </c>
      <c r="E91" s="35">
        <f>ROUND(ROUND(((1+$B$44)*(1+$C$44)),3)^$E28,3)</f>
        <v>1.0760000000000001</v>
      </c>
    </row>
    <row r="92" spans="1:6" x14ac:dyDescent="0.4">
      <c r="A92" s="23">
        <f>A93-1</f>
        <v>2019</v>
      </c>
      <c r="B92" s="35">
        <f>ROUND(ROUND(((1+$B$41)*(1+$C$41)),3)^$E29,3)</f>
        <v>1.02</v>
      </c>
      <c r="C92" s="35">
        <f t="shared" si="16"/>
        <v>0.98799999999999999</v>
      </c>
      <c r="D92" s="35">
        <f>ROUND(ROUND(((1+$B$43)*(1+$C$43)),3)^$E29,3)</f>
        <v>1.224</v>
      </c>
      <c r="E92" s="35">
        <f>ROUND(ROUND(((1+$B$44)*(1+$C$44)),3)^$E29,3)</f>
        <v>1.06</v>
      </c>
    </row>
    <row r="93" spans="1:6" x14ac:dyDescent="0.4">
      <c r="A93" s="23">
        <f>YEAR($B$3)</f>
        <v>2020</v>
      </c>
      <c r="B93" s="35">
        <f>ROUND(ROUND(((1+$B$41)*(1+$C$41)),3)^$E30,3)</f>
        <v>1.0149999999999999</v>
      </c>
      <c r="C93" s="35">
        <f t="shared" si="16"/>
        <v>0.99099999999999999</v>
      </c>
      <c r="D93" s="35">
        <f>ROUND(ROUND(((1+$B$43)*(1+$C$43)),3)^$E30,3)</f>
        <v>1.163</v>
      </c>
      <c r="E93" s="35">
        <f>ROUND(ROUND(((1+$B$44)*(1+$C$44)),3)^$E30,3)</f>
        <v>1.044</v>
      </c>
    </row>
  </sheetData>
  <mergeCells count="6">
    <mergeCell ref="B53:E53"/>
    <mergeCell ref="H53:K53"/>
    <mergeCell ref="B62:E62"/>
    <mergeCell ref="H62:K62"/>
    <mergeCell ref="B71:E71"/>
    <mergeCell ref="H71:K71"/>
  </mergeCells>
  <printOptions horizontalCentered="1"/>
  <pageMargins left="0.7" right="0.7" top="0.75" bottom="0.75" header="0.3" footer="0.3"/>
  <pageSetup firstPageNumber="0" orientation="portrait" useFirstPageNumber="1" r:id="rId1"/>
  <headerFooter>
    <oddHeader>&amp;L&amp;"Times New Roman"&amp;9INSURANCE SERVICES OFFICE, INC.</oddHeader>
    <oddFooter>&amp;C&amp;"Times New Roman"&amp;9© Insurance Services Office, Inc., 2022        		OREGON        BP-2021-RLA1&amp;R&amp;"Times New Roman"&amp;9&amp;A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A46B83-864F-4EFF-ADF6-9A46A307E296}">
  <sheetPr>
    <pageSetUpPr fitToPage="1"/>
  </sheetPr>
  <dimension ref="A1:I43"/>
  <sheetViews>
    <sheetView zoomScale="85" zoomScaleNormal="85" workbookViewId="0">
      <selection sqref="A1:F1"/>
    </sheetView>
  </sheetViews>
  <sheetFormatPr defaultRowHeight="12.75" x14ac:dyDescent="0.35"/>
  <cols>
    <col min="1" max="1" width="11.3984375" style="84" customWidth="1"/>
    <col min="2" max="2" width="14.3984375" style="84" customWidth="1"/>
    <col min="3" max="3" width="13.73046875" style="84" customWidth="1"/>
    <col min="4" max="4" width="13" style="84" customWidth="1"/>
    <col min="5" max="5" width="13.265625" style="84" bestFit="1" customWidth="1"/>
    <col min="6" max="6" width="11.59765625" style="84" customWidth="1"/>
    <col min="7" max="7" width="10.59765625" style="84" customWidth="1"/>
    <col min="8" max="8" width="12.265625" style="84" bestFit="1" customWidth="1"/>
    <col min="9" max="16384" width="9.06640625" style="84"/>
  </cols>
  <sheetData>
    <row r="1" spans="1:9" ht="13.9" x14ac:dyDescent="0.4">
      <c r="A1" s="266" t="str">
        <f>UPPER(state)</f>
        <v>OREGON</v>
      </c>
      <c r="B1" s="266"/>
      <c r="C1" s="266"/>
      <c r="D1" s="266"/>
      <c r="E1" s="266"/>
      <c r="F1" s="266"/>
      <c r="G1" s="175"/>
    </row>
    <row r="2" spans="1:9" ht="13.9" x14ac:dyDescent="0.4">
      <c r="A2" s="266"/>
      <c r="B2" s="266"/>
      <c r="C2" s="266"/>
      <c r="D2" s="266"/>
      <c r="E2" s="266"/>
      <c r="F2" s="266"/>
      <c r="G2" s="175"/>
    </row>
    <row r="3" spans="1:9" ht="13.9" x14ac:dyDescent="0.4">
      <c r="A3" s="266" t="s">
        <v>153</v>
      </c>
      <c r="B3" s="266"/>
      <c r="C3" s="266"/>
      <c r="D3" s="266"/>
      <c r="E3" s="266"/>
      <c r="F3" s="266"/>
      <c r="G3" s="175"/>
    </row>
    <row r="4" spans="1:9" ht="13.9" x14ac:dyDescent="0.4">
      <c r="A4" s="266"/>
      <c r="B4" s="266"/>
      <c r="C4" s="266"/>
      <c r="D4" s="266"/>
      <c r="E4" s="266"/>
      <c r="F4" s="266"/>
      <c r="G4" s="175"/>
    </row>
    <row r="5" spans="1:9" ht="13.9" x14ac:dyDescent="0.4">
      <c r="A5" s="266" t="s">
        <v>433</v>
      </c>
      <c r="B5" s="266"/>
      <c r="C5" s="266"/>
      <c r="D5" s="266"/>
      <c r="E5" s="266"/>
      <c r="F5" s="266"/>
      <c r="G5" s="175"/>
    </row>
    <row r="6" spans="1:9" ht="13.9" x14ac:dyDescent="0.4">
      <c r="A6" s="266"/>
      <c r="B6" s="266"/>
      <c r="C6" s="266"/>
      <c r="D6" s="266"/>
      <c r="E6" s="266"/>
      <c r="F6" s="266"/>
      <c r="G6" s="175"/>
    </row>
    <row r="7" spans="1:9" ht="13.9" x14ac:dyDescent="0.4">
      <c r="A7" s="266" t="s">
        <v>434</v>
      </c>
      <c r="B7" s="266"/>
      <c r="C7" s="266"/>
      <c r="D7" s="266"/>
      <c r="E7" s="266"/>
      <c r="F7" s="266"/>
      <c r="G7" s="175"/>
    </row>
    <row r="8" spans="1:9" ht="13.9" x14ac:dyDescent="0.4">
      <c r="A8" s="266"/>
      <c r="B8" s="266"/>
      <c r="C8" s="266"/>
      <c r="D8" s="266"/>
      <c r="E8" s="266"/>
      <c r="F8" s="266"/>
      <c r="G8" s="175"/>
    </row>
    <row r="9" spans="1:9" ht="13.9" x14ac:dyDescent="0.4">
      <c r="A9" s="266" t="s">
        <v>435</v>
      </c>
      <c r="B9" s="266"/>
      <c r="C9" s="266"/>
      <c r="D9" s="266"/>
      <c r="E9" s="266"/>
      <c r="F9" s="266"/>
      <c r="G9" s="175"/>
    </row>
    <row r="11" spans="1:9" ht="13.9" x14ac:dyDescent="0.4">
      <c r="E11" s="38" t="s">
        <v>408</v>
      </c>
      <c r="F11" s="38" t="s">
        <v>408</v>
      </c>
      <c r="G11" s="38"/>
    </row>
    <row r="12" spans="1:9" ht="13.9" x14ac:dyDescent="0.4">
      <c r="A12" s="38" t="s">
        <v>409</v>
      </c>
      <c r="B12" s="38" t="s">
        <v>288</v>
      </c>
      <c r="C12" s="38" t="s">
        <v>411</v>
      </c>
      <c r="D12" s="38" t="s">
        <v>412</v>
      </c>
      <c r="E12" s="38" t="s">
        <v>413</v>
      </c>
      <c r="F12" s="38" t="s">
        <v>413</v>
      </c>
    </row>
    <row r="13" spans="1:9" ht="13.9" x14ac:dyDescent="0.4">
      <c r="A13" s="164" t="s">
        <v>109</v>
      </c>
      <c r="B13" s="164" t="s">
        <v>416</v>
      </c>
      <c r="C13" s="164" t="s">
        <v>416</v>
      </c>
      <c r="D13" s="164" t="s">
        <v>417</v>
      </c>
      <c r="E13" s="164" t="s">
        <v>418</v>
      </c>
      <c r="F13" s="164" t="s">
        <v>419</v>
      </c>
    </row>
    <row r="14" spans="1:9" ht="14.25" x14ac:dyDescent="0.45">
      <c r="A14" s="28">
        <v>2011</v>
      </c>
      <c r="B14" s="165">
        <v>293887454.30000001</v>
      </c>
      <c r="C14" s="165">
        <v>130025641.3</v>
      </c>
      <c r="D14" s="165">
        <v>12516</v>
      </c>
      <c r="E14" s="166">
        <f>B14/D14</f>
        <v>23480.940739852987</v>
      </c>
      <c r="F14" s="166">
        <f>C14/D14</f>
        <v>10388.75369926494</v>
      </c>
      <c r="H14" s="168"/>
      <c r="I14" s="168"/>
    </row>
    <row r="15" spans="1:9" ht="14.25" x14ac:dyDescent="0.45">
      <c r="A15" s="28">
        <v>2012</v>
      </c>
      <c r="B15" s="165">
        <v>394064986.89999998</v>
      </c>
      <c r="C15" s="165">
        <v>188497191.40000001</v>
      </c>
      <c r="D15" s="165">
        <v>19894</v>
      </c>
      <c r="E15" s="166">
        <f t="shared" ref="E15:E23" si="0">B15/D15</f>
        <v>19808.232979792901</v>
      </c>
      <c r="F15" s="166">
        <f t="shared" ref="F15:F23" si="1">C15/D15</f>
        <v>9475.077480647431</v>
      </c>
      <c r="H15" s="168"/>
      <c r="I15" s="168"/>
    </row>
    <row r="16" spans="1:9" ht="14.25" x14ac:dyDescent="0.45">
      <c r="A16" s="28">
        <v>2013</v>
      </c>
      <c r="B16" s="165">
        <v>256875356.69999999</v>
      </c>
      <c r="C16" s="165">
        <v>135310402</v>
      </c>
      <c r="D16" s="165">
        <v>13758</v>
      </c>
      <c r="E16" s="166">
        <f t="shared" si="0"/>
        <v>18670.981007413866</v>
      </c>
      <c r="F16" s="166">
        <f t="shared" si="1"/>
        <v>9835.0343073121094</v>
      </c>
      <c r="H16" s="168"/>
      <c r="I16" s="168"/>
    </row>
    <row r="17" spans="1:9" ht="14.25" x14ac:dyDescent="0.45">
      <c r="A17" s="28">
        <v>2014</v>
      </c>
      <c r="B17" s="165">
        <v>138215638.40000001</v>
      </c>
      <c r="C17" s="165">
        <v>93480124.609999999</v>
      </c>
      <c r="D17" s="165">
        <v>7334</v>
      </c>
      <c r="E17" s="166">
        <f t="shared" si="0"/>
        <v>18845.873793291521</v>
      </c>
      <c r="F17" s="166">
        <f t="shared" si="1"/>
        <v>12746.130980365422</v>
      </c>
      <c r="H17" s="168"/>
      <c r="I17" s="168"/>
    </row>
    <row r="18" spans="1:9" ht="14.25" x14ac:dyDescent="0.45">
      <c r="A18" s="28">
        <v>2015</v>
      </c>
      <c r="B18" s="165">
        <v>188963996.59999999</v>
      </c>
      <c r="C18" s="165">
        <v>108737650.59999999</v>
      </c>
      <c r="D18" s="165">
        <v>8257</v>
      </c>
      <c r="E18" s="166">
        <f t="shared" si="0"/>
        <v>22885.309022647449</v>
      </c>
      <c r="F18" s="166">
        <f t="shared" si="1"/>
        <v>13169.14746275887</v>
      </c>
      <c r="H18" s="168"/>
      <c r="I18" s="168"/>
    </row>
    <row r="19" spans="1:9" ht="14.25" x14ac:dyDescent="0.45">
      <c r="A19" s="28">
        <v>2016</v>
      </c>
      <c r="B19" s="165">
        <v>147919067.90000001</v>
      </c>
      <c r="C19" s="165">
        <v>115920696.40000001</v>
      </c>
      <c r="D19" s="165">
        <v>7278</v>
      </c>
      <c r="E19" s="166">
        <f t="shared" si="0"/>
        <v>20324.136837043145</v>
      </c>
      <c r="F19" s="166">
        <f t="shared" si="1"/>
        <v>15927.548282495192</v>
      </c>
      <c r="H19" s="168"/>
      <c r="I19" s="168"/>
    </row>
    <row r="20" spans="1:9" ht="14.25" x14ac:dyDescent="0.45">
      <c r="A20" s="28">
        <v>2017</v>
      </c>
      <c r="B20" s="165">
        <v>240548717.69999999</v>
      </c>
      <c r="C20" s="165">
        <v>146020500</v>
      </c>
      <c r="D20" s="165">
        <v>8474</v>
      </c>
      <c r="E20" s="166">
        <f t="shared" si="0"/>
        <v>28386.678982770827</v>
      </c>
      <c r="F20" s="166">
        <f t="shared" si="1"/>
        <v>17231.590748170875</v>
      </c>
      <c r="H20" s="168"/>
      <c r="I20" s="168"/>
    </row>
    <row r="21" spans="1:9" ht="14.25" x14ac:dyDescent="0.45">
      <c r="A21" s="28">
        <v>2018</v>
      </c>
      <c r="B21" s="165">
        <v>245845073.5</v>
      </c>
      <c r="C21" s="165">
        <v>135637101.30000001</v>
      </c>
      <c r="D21" s="165">
        <v>8063</v>
      </c>
      <c r="E21" s="166">
        <f t="shared" si="0"/>
        <v>30490.521332010419</v>
      </c>
      <c r="F21" s="166">
        <f t="shared" si="1"/>
        <v>16822.16312786804</v>
      </c>
      <c r="H21" s="168"/>
      <c r="I21" s="168"/>
    </row>
    <row r="22" spans="1:9" ht="14.25" x14ac:dyDescent="0.45">
      <c r="A22" s="28">
        <v>2019</v>
      </c>
      <c r="B22" s="165">
        <v>243340906.09999999</v>
      </c>
      <c r="C22" s="165">
        <v>154723176.5</v>
      </c>
      <c r="D22" s="165">
        <v>7170</v>
      </c>
      <c r="E22" s="166">
        <f t="shared" si="0"/>
        <v>33938.759567642956</v>
      </c>
      <c r="F22" s="166">
        <f t="shared" si="1"/>
        <v>21579.243584379357</v>
      </c>
      <c r="H22" s="168"/>
      <c r="I22" s="168"/>
    </row>
    <row r="23" spans="1:9" ht="14.25" x14ac:dyDescent="0.45">
      <c r="A23" s="28">
        <v>2020</v>
      </c>
      <c r="B23" s="165">
        <v>285714732</v>
      </c>
      <c r="C23" s="165">
        <v>159028301.80000001</v>
      </c>
      <c r="D23" s="165">
        <v>6734</v>
      </c>
      <c r="E23" s="166">
        <f t="shared" si="0"/>
        <v>42428.680130680128</v>
      </c>
      <c r="F23" s="166">
        <f t="shared" si="1"/>
        <v>23615.726433026433</v>
      </c>
      <c r="H23" s="168"/>
      <c r="I23" s="168"/>
    </row>
    <row r="24" spans="1:9" ht="13.9" x14ac:dyDescent="0.4">
      <c r="A24" s="28"/>
      <c r="B24" s="166"/>
      <c r="C24" s="166"/>
      <c r="D24" s="166"/>
      <c r="E24" s="166"/>
      <c r="F24" s="167"/>
    </row>
    <row r="26" spans="1:9" ht="13.9" x14ac:dyDescent="0.4">
      <c r="A26" s="267" t="s">
        <v>421</v>
      </c>
      <c r="B26" s="267"/>
      <c r="C26" s="267"/>
      <c r="E26" s="164" t="s">
        <v>436</v>
      </c>
      <c r="G26" s="170"/>
    </row>
    <row r="27" spans="1:9" ht="13.9" x14ac:dyDescent="0.35">
      <c r="C27" s="171"/>
      <c r="E27" s="171"/>
      <c r="G27" s="171"/>
    </row>
    <row r="28" spans="1:9" ht="13.9" x14ac:dyDescent="0.4">
      <c r="A28" s="268" t="s">
        <v>424</v>
      </c>
      <c r="B28" s="268"/>
      <c r="C28" s="268"/>
      <c r="D28" s="172">
        <f>ROUND(LOGEST(E$14:E$23,$A$14:$A$23,TRUE, TRUE)-1,3)</f>
        <v>0.08</v>
      </c>
      <c r="E28" s="173">
        <f>RSQ(LN(E$14:E$23),$A$14:$A$23)</f>
        <v>0.69082131457415907</v>
      </c>
    </row>
    <row r="29" spans="1:9" ht="13.9" x14ac:dyDescent="0.4">
      <c r="A29" s="268"/>
      <c r="B29" s="268"/>
      <c r="C29" s="268"/>
      <c r="D29" s="172"/>
      <c r="E29" s="173"/>
    </row>
    <row r="30" spans="1:9" ht="13.9" x14ac:dyDescent="0.4">
      <c r="A30" s="268" t="s">
        <v>425</v>
      </c>
      <c r="B30" s="268"/>
      <c r="C30" s="268"/>
      <c r="D30" s="172">
        <f>ROUND(LOGEST(E$16:E$23,$A$16:$A$23,TRUE, TRUE)-1,3)</f>
        <v>0.125</v>
      </c>
      <c r="E30" s="173">
        <f>RSQ(LN(E$16:E$23),$A$16:$A$23)</f>
        <v>0.91686263614305585</v>
      </c>
    </row>
    <row r="31" spans="1:9" ht="13.9" x14ac:dyDescent="0.35">
      <c r="A31" s="269"/>
      <c r="B31" s="269"/>
      <c r="C31" s="269"/>
      <c r="D31" s="172"/>
      <c r="E31" s="173"/>
    </row>
    <row r="32" spans="1:9" ht="13.9" x14ac:dyDescent="0.4">
      <c r="A32" s="268" t="s">
        <v>426</v>
      </c>
      <c r="B32" s="268"/>
      <c r="C32" s="268"/>
      <c r="D32" s="172">
        <f>ROUND(LOGEST(E$18:E$23,$A$18:$A$23,TRUE, TRUE)-1,3)</f>
        <v>0.14399999999999999</v>
      </c>
      <c r="E32" s="173">
        <f>RSQ(LN(E$18:E$23),$A$18:$A$23)</f>
        <v>0.88797535024469954</v>
      </c>
    </row>
    <row r="33" spans="1:7" ht="13.9" x14ac:dyDescent="0.4">
      <c r="A33" s="268"/>
      <c r="B33" s="268"/>
      <c r="C33" s="268"/>
      <c r="D33" s="172"/>
      <c r="F33" s="173"/>
      <c r="G33" s="176"/>
    </row>
    <row r="34" spans="1:7" x14ac:dyDescent="0.35">
      <c r="A34" s="269"/>
      <c r="B34" s="269"/>
      <c r="C34" s="269"/>
    </row>
    <row r="35" spans="1:7" ht="13.9" x14ac:dyDescent="0.4">
      <c r="A35" s="267" t="s">
        <v>427</v>
      </c>
      <c r="B35" s="267"/>
      <c r="C35" s="267"/>
      <c r="E35" s="164" t="s">
        <v>436</v>
      </c>
    </row>
    <row r="36" spans="1:7" ht="13.9" x14ac:dyDescent="0.35">
      <c r="A36" s="269"/>
      <c r="B36" s="269"/>
      <c r="C36" s="269"/>
      <c r="D36" s="171"/>
      <c r="E36" s="171"/>
    </row>
    <row r="37" spans="1:7" ht="13.9" x14ac:dyDescent="0.4">
      <c r="A37" s="268" t="s">
        <v>424</v>
      </c>
      <c r="B37" s="268"/>
      <c r="C37" s="268"/>
      <c r="D37" s="172">
        <f>ROUND(LOGEST(F$14:F$23,$A$14:$A$23,TRUE, TRUE)-1,3)</f>
        <v>0.108</v>
      </c>
      <c r="E37" s="173">
        <f>RSQ(LN(F$14:F$23),$A$14:$A$23)</f>
        <v>0.93911673981331523</v>
      </c>
    </row>
    <row r="38" spans="1:7" ht="13.9" x14ac:dyDescent="0.4">
      <c r="A38" s="268"/>
      <c r="B38" s="268"/>
      <c r="C38" s="268"/>
      <c r="D38" s="172"/>
      <c r="E38" s="173"/>
    </row>
    <row r="39" spans="1:7" ht="13.9" x14ac:dyDescent="0.4">
      <c r="A39" s="268" t="s">
        <v>425</v>
      </c>
      <c r="B39" s="268"/>
      <c r="C39" s="268"/>
      <c r="D39" s="172">
        <f>ROUND(LOGEST(F$16:F$23,$A$16:$A$23,TRUE, TRUE)-1,3)</f>
        <v>0.121</v>
      </c>
      <c r="E39" s="173">
        <f>RSQ(LN(F$16:F$23),$A$16:$A$23)</f>
        <v>0.95079346077006444</v>
      </c>
    </row>
    <row r="40" spans="1:7" ht="13.9" x14ac:dyDescent="0.35">
      <c r="A40" s="269"/>
      <c r="B40" s="269"/>
      <c r="C40" s="269"/>
      <c r="D40" s="172"/>
      <c r="E40" s="173"/>
    </row>
    <row r="41" spans="1:7" ht="13.9" x14ac:dyDescent="0.4">
      <c r="A41" s="268" t="s">
        <v>426</v>
      </c>
      <c r="B41" s="268"/>
      <c r="C41" s="268"/>
      <c r="D41" s="172">
        <f>ROUND(LOGEST(F$18:F$23,$A$18:$A$23,TRUE, TRUE)-1,3)</f>
        <v>0.115</v>
      </c>
      <c r="E41" s="173">
        <f>RSQ(LN(F$18:F$23),$A$18:$A$23)</f>
        <v>0.92326051981233093</v>
      </c>
    </row>
    <row r="42" spans="1:7" ht="13.9" x14ac:dyDescent="0.35">
      <c r="A42" s="269"/>
      <c r="B42" s="269"/>
      <c r="C42" s="269"/>
      <c r="F42" s="173"/>
    </row>
    <row r="43" spans="1:7" ht="13.9" x14ac:dyDescent="0.4">
      <c r="A43" s="268" t="s">
        <v>428</v>
      </c>
      <c r="B43" s="268"/>
      <c r="C43" s="268"/>
      <c r="D43" s="172">
        <f>DZ_INPUTS!B36</f>
        <v>0.1</v>
      </c>
    </row>
  </sheetData>
  <mergeCells count="26">
    <mergeCell ref="A42:C42"/>
    <mergeCell ref="A43:C43"/>
    <mergeCell ref="A36:C36"/>
    <mergeCell ref="A37:C37"/>
    <mergeCell ref="A38:C38"/>
    <mergeCell ref="A39:C39"/>
    <mergeCell ref="A40:C40"/>
    <mergeCell ref="A41:C41"/>
    <mergeCell ref="A35:C35"/>
    <mergeCell ref="A7:F7"/>
    <mergeCell ref="A8:F8"/>
    <mergeCell ref="A9:F9"/>
    <mergeCell ref="A26:C26"/>
    <mergeCell ref="A28:C28"/>
    <mergeCell ref="A29:C29"/>
    <mergeCell ref="A30:C30"/>
    <mergeCell ref="A31:C31"/>
    <mergeCell ref="A32:C32"/>
    <mergeCell ref="A33:C33"/>
    <mergeCell ref="A34:C34"/>
    <mergeCell ref="A6:F6"/>
    <mergeCell ref="A1:F1"/>
    <mergeCell ref="A2:F2"/>
    <mergeCell ref="A3:F3"/>
    <mergeCell ref="A4:F4"/>
    <mergeCell ref="A5:F5"/>
  </mergeCells>
  <printOptions horizontalCentered="1"/>
  <pageMargins left="0.25" right="0.25" top="0.75" bottom="0.75" header="0.3" footer="0.3"/>
  <pageSetup firstPageNumber="0" orientation="portrait" useFirstPageNumber="1" r:id="rId1"/>
  <headerFooter>
    <oddHeader>&amp;L&amp;"Times New Roman"&amp;9INSURANCE SERVICES OFFICE, INC.</oddHeader>
    <oddFooter>&amp;C&amp;"Times New Roman"&amp;9© Insurance Services Office, Inc., 2022        		OREGON        BP-2021-RLA1&amp;R&amp;"Times New Roman"&amp;9&amp;A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6EA35-31CD-422A-9183-75D3E0961CD3}">
  <sheetPr>
    <pageSetUpPr fitToPage="1"/>
  </sheetPr>
  <dimension ref="A1:I43"/>
  <sheetViews>
    <sheetView zoomScale="85" zoomScaleNormal="85" workbookViewId="0">
      <selection sqref="A1:F1"/>
    </sheetView>
  </sheetViews>
  <sheetFormatPr defaultRowHeight="12.75" x14ac:dyDescent="0.35"/>
  <cols>
    <col min="1" max="1" width="11.3984375" style="84" customWidth="1"/>
    <col min="2" max="2" width="14.3984375" style="84" customWidth="1"/>
    <col min="3" max="3" width="13.73046875" style="84" customWidth="1"/>
    <col min="4" max="4" width="13" style="84" customWidth="1"/>
    <col min="5" max="5" width="13.265625" style="84" bestFit="1" customWidth="1"/>
    <col min="6" max="6" width="11.59765625" style="84" customWidth="1"/>
    <col min="7" max="7" width="10.59765625" style="84" customWidth="1"/>
    <col min="8" max="8" width="11.265625" style="84" bestFit="1" customWidth="1"/>
    <col min="9" max="16384" width="9.06640625" style="84"/>
  </cols>
  <sheetData>
    <row r="1" spans="1:9" ht="13.9" x14ac:dyDescent="0.4">
      <c r="A1" s="266" t="str">
        <f>UPPER(state)</f>
        <v>OREGON</v>
      </c>
      <c r="B1" s="266"/>
      <c r="C1" s="266"/>
      <c r="D1" s="266"/>
      <c r="E1" s="266"/>
      <c r="F1" s="266"/>
    </row>
    <row r="2" spans="1:9" ht="13.9" x14ac:dyDescent="0.4">
      <c r="A2" s="266"/>
      <c r="B2" s="266"/>
      <c r="C2" s="266"/>
      <c r="D2" s="266"/>
      <c r="E2" s="266"/>
      <c r="F2" s="266"/>
    </row>
    <row r="3" spans="1:9" ht="13.9" x14ac:dyDescent="0.4">
      <c r="A3" s="266" t="s">
        <v>153</v>
      </c>
      <c r="B3" s="266"/>
      <c r="C3" s="266"/>
      <c r="D3" s="266"/>
      <c r="E3" s="266"/>
      <c r="F3" s="266"/>
    </row>
    <row r="4" spans="1:9" ht="13.9" x14ac:dyDescent="0.4">
      <c r="A4" s="266"/>
      <c r="B4" s="266"/>
      <c r="C4" s="266"/>
      <c r="D4" s="266"/>
      <c r="E4" s="266"/>
      <c r="F4" s="266"/>
    </row>
    <row r="5" spans="1:9" ht="13.9" x14ac:dyDescent="0.4">
      <c r="A5" s="266" t="s">
        <v>437</v>
      </c>
      <c r="B5" s="266"/>
      <c r="C5" s="266"/>
      <c r="D5" s="266"/>
      <c r="E5" s="266"/>
      <c r="F5" s="266"/>
    </row>
    <row r="6" spans="1:9" ht="13.9" x14ac:dyDescent="0.4">
      <c r="A6" s="266"/>
      <c r="B6" s="266"/>
      <c r="C6" s="266"/>
      <c r="D6" s="266"/>
      <c r="E6" s="266"/>
      <c r="F6" s="266"/>
    </row>
    <row r="7" spans="1:9" ht="13.9" x14ac:dyDescent="0.4">
      <c r="A7" s="266" t="s">
        <v>438</v>
      </c>
      <c r="B7" s="266"/>
      <c r="C7" s="266"/>
      <c r="D7" s="266"/>
      <c r="E7" s="266"/>
      <c r="F7" s="266"/>
    </row>
    <row r="8" spans="1:9" ht="13.9" x14ac:dyDescent="0.4">
      <c r="A8" s="266"/>
      <c r="B8" s="266"/>
      <c r="C8" s="266"/>
      <c r="D8" s="266"/>
      <c r="E8" s="266"/>
      <c r="F8" s="266"/>
    </row>
    <row r="9" spans="1:9" ht="13.9" x14ac:dyDescent="0.4">
      <c r="A9" s="266" t="s">
        <v>435</v>
      </c>
      <c r="B9" s="266"/>
      <c r="C9" s="266"/>
      <c r="D9" s="266"/>
      <c r="E9" s="266"/>
      <c r="F9" s="266"/>
    </row>
    <row r="11" spans="1:9" ht="13.9" x14ac:dyDescent="0.4">
      <c r="E11" s="38" t="s">
        <v>408</v>
      </c>
      <c r="F11" s="38" t="s">
        <v>408</v>
      </c>
    </row>
    <row r="12" spans="1:9" ht="13.9" x14ac:dyDescent="0.4">
      <c r="A12" s="38" t="s">
        <v>409</v>
      </c>
      <c r="B12" s="38" t="s">
        <v>288</v>
      </c>
      <c r="C12" s="38" t="s">
        <v>411</v>
      </c>
      <c r="D12" s="38" t="s">
        <v>412</v>
      </c>
      <c r="E12" s="38" t="s">
        <v>413</v>
      </c>
      <c r="F12" s="38" t="s">
        <v>413</v>
      </c>
    </row>
    <row r="13" spans="1:9" ht="13.9" x14ac:dyDescent="0.4">
      <c r="A13" s="164" t="s">
        <v>109</v>
      </c>
      <c r="B13" s="164" t="s">
        <v>416</v>
      </c>
      <c r="C13" s="164" t="s">
        <v>416</v>
      </c>
      <c r="D13" s="164" t="s">
        <v>417</v>
      </c>
      <c r="E13" s="164" t="s">
        <v>418</v>
      </c>
      <c r="F13" s="164" t="s">
        <v>419</v>
      </c>
    </row>
    <row r="14" spans="1:9" ht="14.25" x14ac:dyDescent="0.45">
      <c r="A14" s="28">
        <v>2011</v>
      </c>
      <c r="B14" s="165">
        <v>14822707.48</v>
      </c>
      <c r="C14" s="165">
        <v>11582025.039999999</v>
      </c>
      <c r="D14" s="165">
        <v>1908</v>
      </c>
      <c r="E14" s="166">
        <f>B14/D14</f>
        <v>7768.7146121593296</v>
      </c>
      <c r="F14" s="166">
        <f>C14/D14</f>
        <v>6070.2437316561836</v>
      </c>
      <c r="H14" s="168"/>
      <c r="I14" s="168"/>
    </row>
    <row r="15" spans="1:9" ht="14.25" x14ac:dyDescent="0.45">
      <c r="A15" s="28">
        <v>2012</v>
      </c>
      <c r="B15" s="165">
        <v>46464241.740000002</v>
      </c>
      <c r="C15" s="165">
        <v>20208613.91</v>
      </c>
      <c r="D15" s="165">
        <v>3325</v>
      </c>
      <c r="E15" s="166">
        <f t="shared" ref="E15:E23" si="0">B15/D15</f>
        <v>13974.208042105263</v>
      </c>
      <c r="F15" s="166">
        <f t="shared" ref="F15:F23" si="1">C15/D15</f>
        <v>6077.7786195488725</v>
      </c>
      <c r="H15" s="168"/>
      <c r="I15" s="168"/>
    </row>
    <row r="16" spans="1:9" ht="14.25" x14ac:dyDescent="0.45">
      <c r="A16" s="28">
        <v>2013</v>
      </c>
      <c r="B16" s="165">
        <v>17892099.030000001</v>
      </c>
      <c r="C16" s="165">
        <v>10885576.140000001</v>
      </c>
      <c r="D16" s="165">
        <v>2468</v>
      </c>
      <c r="E16" s="166">
        <f t="shared" si="0"/>
        <v>7249.6349392220427</v>
      </c>
      <c r="F16" s="166">
        <f t="shared" si="1"/>
        <v>4410.6872528363047</v>
      </c>
      <c r="H16" s="168"/>
      <c r="I16" s="168"/>
    </row>
    <row r="17" spans="1:9" ht="14.25" x14ac:dyDescent="0.45">
      <c r="A17" s="28">
        <v>2014</v>
      </c>
      <c r="B17" s="165">
        <v>12601914.6</v>
      </c>
      <c r="C17" s="165">
        <v>9295731.8379999995</v>
      </c>
      <c r="D17" s="165">
        <v>1566</v>
      </c>
      <c r="E17" s="166">
        <f t="shared" si="0"/>
        <v>8047.1996168582373</v>
      </c>
      <c r="F17" s="166">
        <f t="shared" si="1"/>
        <v>5935.9717994891444</v>
      </c>
      <c r="H17" s="168"/>
      <c r="I17" s="168"/>
    </row>
    <row r="18" spans="1:9" ht="14.25" x14ac:dyDescent="0.45">
      <c r="A18" s="28">
        <v>2015</v>
      </c>
      <c r="B18" s="165">
        <v>14683095.35</v>
      </c>
      <c r="C18" s="165">
        <v>10411063.640000001</v>
      </c>
      <c r="D18" s="165">
        <v>1447</v>
      </c>
      <c r="E18" s="166">
        <f t="shared" si="0"/>
        <v>10147.267000691085</v>
      </c>
      <c r="F18" s="166">
        <f t="shared" si="1"/>
        <v>7194.9299516240499</v>
      </c>
      <c r="H18" s="168"/>
      <c r="I18" s="168"/>
    </row>
    <row r="19" spans="1:9" ht="14.25" x14ac:dyDescent="0.45">
      <c r="A19" s="28">
        <v>2016</v>
      </c>
      <c r="B19" s="165">
        <v>11892600.07</v>
      </c>
      <c r="C19" s="165">
        <v>9501210.6510000005</v>
      </c>
      <c r="D19" s="165">
        <v>1482</v>
      </c>
      <c r="E19" s="166">
        <f t="shared" si="0"/>
        <v>8024.6964035087722</v>
      </c>
      <c r="F19" s="166">
        <f t="shared" si="1"/>
        <v>6411.0733137651823</v>
      </c>
      <c r="H19" s="168"/>
      <c r="I19" s="168"/>
    </row>
    <row r="20" spans="1:9" ht="14.25" x14ac:dyDescent="0.45">
      <c r="A20" s="28">
        <v>2017</v>
      </c>
      <c r="B20" s="165">
        <v>12779856.550000001</v>
      </c>
      <c r="C20" s="165">
        <v>9474083.0649999995</v>
      </c>
      <c r="D20" s="165">
        <v>1632</v>
      </c>
      <c r="E20" s="166">
        <f t="shared" si="0"/>
        <v>7830.7944546568633</v>
      </c>
      <c r="F20" s="166">
        <f t="shared" si="1"/>
        <v>5805.197956495098</v>
      </c>
      <c r="H20" s="168"/>
      <c r="I20" s="168"/>
    </row>
    <row r="21" spans="1:9" ht="14.25" x14ac:dyDescent="0.45">
      <c r="A21" s="28">
        <v>2018</v>
      </c>
      <c r="B21" s="165">
        <v>16087149.050000001</v>
      </c>
      <c r="C21" s="165">
        <v>10534375.779999999</v>
      </c>
      <c r="D21" s="165">
        <v>1628</v>
      </c>
      <c r="E21" s="166">
        <f t="shared" si="0"/>
        <v>9881.5411855036855</v>
      </c>
      <c r="F21" s="166">
        <f t="shared" si="1"/>
        <v>6470.7467936117928</v>
      </c>
      <c r="H21" s="168"/>
      <c r="I21" s="168"/>
    </row>
    <row r="22" spans="1:9" ht="14.25" x14ac:dyDescent="0.45">
      <c r="A22" s="28">
        <v>2019</v>
      </c>
      <c r="B22" s="165">
        <v>14279680.859999999</v>
      </c>
      <c r="C22" s="165">
        <v>11095357</v>
      </c>
      <c r="D22" s="165">
        <v>1462</v>
      </c>
      <c r="E22" s="166">
        <f t="shared" si="0"/>
        <v>9767.2235704514351</v>
      </c>
      <c r="F22" s="166">
        <f t="shared" si="1"/>
        <v>7589.1634746922027</v>
      </c>
      <c r="H22" s="168"/>
      <c r="I22" s="168"/>
    </row>
    <row r="23" spans="1:9" ht="14.25" x14ac:dyDescent="0.45">
      <c r="A23" s="28">
        <v>2020</v>
      </c>
      <c r="B23" s="165">
        <v>26454907</v>
      </c>
      <c r="C23" s="165">
        <v>17355646.09</v>
      </c>
      <c r="D23" s="165">
        <v>1524</v>
      </c>
      <c r="E23" s="166">
        <f t="shared" si="0"/>
        <v>17358.86286089239</v>
      </c>
      <c r="F23" s="166">
        <f t="shared" si="1"/>
        <v>11388.219219160104</v>
      </c>
      <c r="H23" s="168"/>
      <c r="I23" s="168"/>
    </row>
    <row r="24" spans="1:9" ht="13.9" x14ac:dyDescent="0.4">
      <c r="A24" s="28"/>
      <c r="B24" s="166"/>
      <c r="C24" s="166"/>
      <c r="D24" s="166"/>
      <c r="E24" s="166"/>
      <c r="F24" s="167"/>
    </row>
    <row r="26" spans="1:9" ht="13.9" x14ac:dyDescent="0.4">
      <c r="A26" s="267" t="s">
        <v>421</v>
      </c>
      <c r="B26" s="267"/>
      <c r="C26" s="267"/>
      <c r="E26" s="164" t="s">
        <v>436</v>
      </c>
      <c r="G26" s="170"/>
    </row>
    <row r="27" spans="1:9" ht="13.9" x14ac:dyDescent="0.35">
      <c r="A27" s="269"/>
      <c r="B27" s="269"/>
      <c r="C27" s="269"/>
      <c r="E27" s="171"/>
      <c r="G27" s="171"/>
    </row>
    <row r="28" spans="1:9" ht="13.9" x14ac:dyDescent="0.4">
      <c r="A28" s="268" t="s">
        <v>424</v>
      </c>
      <c r="B28" s="268"/>
      <c r="C28" s="268"/>
      <c r="D28" s="172">
        <f>ROUND(LOGEST(E$14:E$23,$A$14:$A$23,TRUE, TRUE)-1,3)</f>
        <v>3.6999999999999998E-2</v>
      </c>
      <c r="E28" s="173">
        <f>RSQ(LN(E$14:E$23),$A$14:$A$23)</f>
        <v>0.14863331081271391</v>
      </c>
    </row>
    <row r="29" spans="1:9" ht="13.9" x14ac:dyDescent="0.4">
      <c r="A29" s="268"/>
      <c r="B29" s="268"/>
      <c r="C29" s="268"/>
      <c r="D29" s="172"/>
      <c r="E29" s="173"/>
    </row>
    <row r="30" spans="1:9" ht="13.9" x14ac:dyDescent="0.4">
      <c r="A30" s="268" t="s">
        <v>425</v>
      </c>
      <c r="B30" s="268"/>
      <c r="C30" s="268"/>
      <c r="D30" s="172">
        <f>ROUND(LOGEST(E$16:E$23,$A$16:$A$23,TRUE, TRUE)-1,3)</f>
        <v>8.6999999999999994E-2</v>
      </c>
      <c r="E30" s="173">
        <f>RSQ(LN(E$16:E$23),$A$16:$A$23)</f>
        <v>0.54050511658801714</v>
      </c>
    </row>
    <row r="31" spans="1:9" ht="13.9" x14ac:dyDescent="0.4">
      <c r="A31" s="268"/>
      <c r="B31" s="268"/>
      <c r="C31" s="268"/>
      <c r="D31" s="172"/>
      <c r="E31" s="173"/>
    </row>
    <row r="32" spans="1:9" ht="13.9" x14ac:dyDescent="0.4">
      <c r="A32" s="268" t="s">
        <v>426</v>
      </c>
      <c r="B32" s="268"/>
      <c r="C32" s="268"/>
      <c r="D32" s="172">
        <f>ROUND(LOGEST(E$18:E$23,$A$18:$A$23,TRUE, TRUE)-1,3)</f>
        <v>0.105</v>
      </c>
      <c r="E32" s="173">
        <f>RSQ(LN(E$18:E$23),$A$18:$A$23)</f>
        <v>0.42577502226460029</v>
      </c>
    </row>
    <row r="33" spans="1:7" ht="13.9" x14ac:dyDescent="0.4">
      <c r="A33" s="268"/>
      <c r="B33" s="268"/>
      <c r="C33" s="268"/>
      <c r="G33" s="176"/>
    </row>
    <row r="34" spans="1:7" x14ac:dyDescent="0.35">
      <c r="A34" s="269"/>
      <c r="B34" s="269"/>
      <c r="C34" s="269"/>
    </row>
    <row r="35" spans="1:7" ht="13.9" x14ac:dyDescent="0.4">
      <c r="A35" s="267" t="s">
        <v>427</v>
      </c>
      <c r="B35" s="267"/>
      <c r="C35" s="267"/>
      <c r="E35" s="164" t="s">
        <v>436</v>
      </c>
    </row>
    <row r="36" spans="1:7" ht="13.9" x14ac:dyDescent="0.35">
      <c r="A36" s="269"/>
      <c r="B36" s="269"/>
      <c r="C36" s="269"/>
      <c r="E36" s="171"/>
    </row>
    <row r="37" spans="1:7" ht="13.9" x14ac:dyDescent="0.4">
      <c r="A37" s="268" t="s">
        <v>424</v>
      </c>
      <c r="B37" s="268"/>
      <c r="C37" s="268"/>
      <c r="D37" s="172">
        <f>ROUND(LOGEST(F$14:F$23,$A$14:$A$23,TRUE, TRUE)-1,3)</f>
        <v>5.6000000000000001E-2</v>
      </c>
      <c r="E37" s="173">
        <f>RSQ(LN(F$14:F$23),$A$14:$A$23)</f>
        <v>0.45894088528650839</v>
      </c>
    </row>
    <row r="38" spans="1:7" ht="13.9" x14ac:dyDescent="0.4">
      <c r="A38" s="268"/>
      <c r="B38" s="268"/>
      <c r="C38" s="268"/>
      <c r="D38" s="172"/>
      <c r="E38" s="173"/>
    </row>
    <row r="39" spans="1:7" ht="13.9" x14ac:dyDescent="0.4">
      <c r="A39" s="268" t="s">
        <v>425</v>
      </c>
      <c r="B39" s="268"/>
      <c r="C39" s="268"/>
      <c r="D39" s="172">
        <f>ROUND(LOGEST(F$16:F$23,$A$16:$A$23,TRUE, TRUE)-1,3)</f>
        <v>9.2999999999999999E-2</v>
      </c>
      <c r="E39" s="173">
        <f>RSQ(LN(F$16:F$23),$A$16:$A$23)</f>
        <v>0.64162083514636592</v>
      </c>
    </row>
    <row r="40" spans="1:7" ht="13.9" x14ac:dyDescent="0.35">
      <c r="A40" s="269"/>
      <c r="B40" s="269"/>
      <c r="C40" s="269"/>
      <c r="D40" s="172"/>
      <c r="E40" s="173"/>
    </row>
    <row r="41" spans="1:7" ht="13.9" x14ac:dyDescent="0.4">
      <c r="A41" s="268" t="s">
        <v>426</v>
      </c>
      <c r="B41" s="268"/>
      <c r="C41" s="268"/>
      <c r="D41" s="172">
        <f>ROUND(LOGEST(F$18:F$23,$A$18:$A$23,TRUE, TRUE)-1,3)</f>
        <v>8.6999999999999994E-2</v>
      </c>
      <c r="E41" s="173">
        <f>RSQ(LN(F$18:F$23),$A$18:$A$23)</f>
        <v>0.42710883680707029</v>
      </c>
    </row>
    <row r="42" spans="1:7" x14ac:dyDescent="0.35">
      <c r="A42" s="269"/>
      <c r="B42" s="269"/>
      <c r="C42" s="269"/>
    </row>
    <row r="43" spans="1:7" ht="13.9" x14ac:dyDescent="0.4">
      <c r="A43" s="268" t="s">
        <v>428</v>
      </c>
      <c r="B43" s="268"/>
      <c r="C43" s="268"/>
      <c r="D43" s="172">
        <f>DZ_INPUTS!B37</f>
        <v>0.06</v>
      </c>
    </row>
  </sheetData>
  <mergeCells count="27">
    <mergeCell ref="A41:C41"/>
    <mergeCell ref="A42:C42"/>
    <mergeCell ref="A43:C43"/>
    <mergeCell ref="A35:C35"/>
    <mergeCell ref="A36:C36"/>
    <mergeCell ref="A37:C37"/>
    <mergeCell ref="A38:C38"/>
    <mergeCell ref="A39:C39"/>
    <mergeCell ref="A40:C40"/>
    <mergeCell ref="A34:C34"/>
    <mergeCell ref="A7:F7"/>
    <mergeCell ref="A8:F8"/>
    <mergeCell ref="A9:F9"/>
    <mergeCell ref="A26:C26"/>
    <mergeCell ref="A27:C27"/>
    <mergeCell ref="A28:C28"/>
    <mergeCell ref="A29:C29"/>
    <mergeCell ref="A30:C30"/>
    <mergeCell ref="A31:C31"/>
    <mergeCell ref="A32:C32"/>
    <mergeCell ref="A33:C33"/>
    <mergeCell ref="A6:F6"/>
    <mergeCell ref="A1:F1"/>
    <mergeCell ref="A2:F2"/>
    <mergeCell ref="A3:F3"/>
    <mergeCell ref="A4:F4"/>
    <mergeCell ref="A5:F5"/>
  </mergeCells>
  <printOptions horizontalCentered="1"/>
  <pageMargins left="0.25" right="0.25" top="0.75" bottom="0.75" header="0.3" footer="0.3"/>
  <pageSetup firstPageNumber="0" orientation="portrait" useFirstPageNumber="1" r:id="rId1"/>
  <headerFooter>
    <oddHeader>&amp;L&amp;"Times New Roman"&amp;9INSURANCE SERVICES OFFICE, INC.</oddHeader>
    <oddFooter>&amp;C&amp;"Times New Roman"&amp;9© Insurance Services Office, Inc., 2022        		OREGON        BP-2021-RLA1&amp;R&amp;"Times New Roman"&amp;9&amp;A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7C63C-1CC4-41B3-B4E9-7ABB08295553}">
  <sheetPr>
    <pageSetUpPr fitToPage="1"/>
  </sheetPr>
  <dimension ref="A1:H43"/>
  <sheetViews>
    <sheetView zoomScale="85" zoomScaleNormal="85" workbookViewId="0">
      <selection sqref="A1:F1"/>
    </sheetView>
  </sheetViews>
  <sheetFormatPr defaultRowHeight="12.75" x14ac:dyDescent="0.35"/>
  <cols>
    <col min="1" max="1" width="11.3984375" style="84" customWidth="1"/>
    <col min="2" max="2" width="14.3984375" style="84" customWidth="1"/>
    <col min="3" max="3" width="13.73046875" style="84" customWidth="1"/>
    <col min="4" max="4" width="13" style="84" customWidth="1"/>
    <col min="5" max="5" width="13.265625" style="84" bestFit="1" customWidth="1"/>
    <col min="6" max="6" width="11.59765625" style="84" customWidth="1"/>
    <col min="7" max="7" width="10.59765625" style="84" customWidth="1"/>
    <col min="8" max="16384" width="9.06640625" style="84"/>
  </cols>
  <sheetData>
    <row r="1" spans="1:7" ht="13.9" x14ac:dyDescent="0.4">
      <c r="A1" s="266" t="str">
        <f>UPPER(state)</f>
        <v>OREGON</v>
      </c>
      <c r="B1" s="266"/>
      <c r="C1" s="266"/>
      <c r="D1" s="266"/>
      <c r="E1" s="266"/>
      <c r="F1" s="266"/>
      <c r="G1" s="175"/>
    </row>
    <row r="2" spans="1:7" ht="13.9" x14ac:dyDescent="0.4">
      <c r="A2" s="266"/>
      <c r="B2" s="266"/>
      <c r="C2" s="266"/>
      <c r="D2" s="266"/>
      <c r="E2" s="266"/>
      <c r="F2" s="266"/>
      <c r="G2" s="175"/>
    </row>
    <row r="3" spans="1:7" ht="13.9" x14ac:dyDescent="0.4">
      <c r="A3" s="266" t="s">
        <v>153</v>
      </c>
      <c r="B3" s="266"/>
      <c r="C3" s="266"/>
      <c r="D3" s="266"/>
      <c r="E3" s="266"/>
      <c r="F3" s="266"/>
      <c r="G3" s="175"/>
    </row>
    <row r="4" spans="1:7" ht="13.9" x14ac:dyDescent="0.4">
      <c r="A4" s="266"/>
      <c r="B4" s="266"/>
      <c r="C4" s="266"/>
      <c r="D4" s="266"/>
      <c r="E4" s="266"/>
      <c r="F4" s="266"/>
      <c r="G4" s="175"/>
    </row>
    <row r="5" spans="1:7" ht="13.9" x14ac:dyDescent="0.4">
      <c r="A5" s="266" t="s">
        <v>439</v>
      </c>
      <c r="B5" s="266"/>
      <c r="C5" s="266"/>
      <c r="D5" s="266"/>
      <c r="E5" s="266"/>
      <c r="F5" s="266"/>
      <c r="G5" s="175"/>
    </row>
    <row r="6" spans="1:7" ht="13.9" x14ac:dyDescent="0.4">
      <c r="A6" s="266"/>
      <c r="B6" s="266"/>
      <c r="C6" s="266"/>
      <c r="D6" s="266"/>
      <c r="E6" s="266"/>
      <c r="F6" s="266"/>
      <c r="G6" s="175"/>
    </row>
    <row r="7" spans="1:7" ht="13.9" x14ac:dyDescent="0.4">
      <c r="A7" s="266" t="s">
        <v>440</v>
      </c>
      <c r="B7" s="266"/>
      <c r="C7" s="266"/>
      <c r="D7" s="266"/>
      <c r="E7" s="266"/>
      <c r="F7" s="266"/>
      <c r="G7" s="175"/>
    </row>
    <row r="8" spans="1:7" ht="13.9" x14ac:dyDescent="0.4">
      <c r="A8" s="266"/>
      <c r="B8" s="266"/>
      <c r="C8" s="266"/>
      <c r="D8" s="266"/>
      <c r="E8" s="266"/>
      <c r="F8" s="266"/>
      <c r="G8" s="175"/>
    </row>
    <row r="9" spans="1:7" ht="13.9" x14ac:dyDescent="0.4">
      <c r="A9" s="266" t="s">
        <v>435</v>
      </c>
      <c r="B9" s="266"/>
      <c r="C9" s="266"/>
      <c r="D9" s="266"/>
      <c r="E9" s="266"/>
      <c r="F9" s="266"/>
      <c r="G9" s="175"/>
    </row>
    <row r="11" spans="1:7" ht="13.9" x14ac:dyDescent="0.4">
      <c r="E11" s="38" t="s">
        <v>408</v>
      </c>
      <c r="F11" s="38" t="s">
        <v>408</v>
      </c>
      <c r="G11" s="38"/>
    </row>
    <row r="12" spans="1:7" ht="13.9" x14ac:dyDescent="0.4">
      <c r="A12" s="38" t="s">
        <v>409</v>
      </c>
      <c r="B12" s="38" t="s">
        <v>288</v>
      </c>
      <c r="C12" s="38" t="s">
        <v>411</v>
      </c>
      <c r="D12" s="38" t="s">
        <v>412</v>
      </c>
      <c r="E12" s="38" t="s">
        <v>413</v>
      </c>
      <c r="F12" s="38" t="s">
        <v>413</v>
      </c>
    </row>
    <row r="13" spans="1:7" ht="13.9" x14ac:dyDescent="0.4">
      <c r="A13" s="164" t="s">
        <v>109</v>
      </c>
      <c r="B13" s="164" t="s">
        <v>416</v>
      </c>
      <c r="C13" s="164" t="s">
        <v>416</v>
      </c>
      <c r="D13" s="164" t="s">
        <v>417</v>
      </c>
      <c r="E13" s="164" t="s">
        <v>418</v>
      </c>
      <c r="F13" s="164" t="s">
        <v>419</v>
      </c>
    </row>
    <row r="14" spans="1:7" ht="13.9" x14ac:dyDescent="0.4">
      <c r="A14" s="28">
        <v>2011</v>
      </c>
      <c r="B14" s="165">
        <v>240187362.80000001</v>
      </c>
      <c r="C14" s="165">
        <v>192899642.09999999</v>
      </c>
      <c r="D14" s="165">
        <v>17660</v>
      </c>
      <c r="E14" s="166">
        <f>B14/D14</f>
        <v>13600.643420158551</v>
      </c>
      <c r="F14" s="166">
        <f>C14/D14</f>
        <v>10922.969541336353</v>
      </c>
    </row>
    <row r="15" spans="1:7" ht="13.9" x14ac:dyDescent="0.4">
      <c r="A15" s="28">
        <v>2012</v>
      </c>
      <c r="B15" s="165">
        <v>172390309.69999999</v>
      </c>
      <c r="C15" s="165">
        <v>157872609.09999999</v>
      </c>
      <c r="D15" s="165">
        <v>14741</v>
      </c>
      <c r="E15" s="166">
        <f t="shared" ref="E15:E23" si="0">B15/D15</f>
        <v>11694.614320602401</v>
      </c>
      <c r="F15" s="166">
        <f t="shared" ref="F15:F23" si="1">C15/D15</f>
        <v>10709.762505935825</v>
      </c>
    </row>
    <row r="16" spans="1:7" ht="13.9" x14ac:dyDescent="0.4">
      <c r="A16" s="28">
        <v>2013</v>
      </c>
      <c r="B16" s="165">
        <v>160381695.5</v>
      </c>
      <c r="C16" s="165">
        <v>150639163.59999999</v>
      </c>
      <c r="D16" s="165">
        <v>13126</v>
      </c>
      <c r="E16" s="166">
        <f t="shared" si="0"/>
        <v>12218.626809385951</v>
      </c>
      <c r="F16" s="166">
        <f t="shared" si="1"/>
        <v>11476.395215602621</v>
      </c>
    </row>
    <row r="17" spans="1:8" ht="13.9" x14ac:dyDescent="0.4">
      <c r="A17" s="28">
        <v>2014</v>
      </c>
      <c r="B17" s="165">
        <v>233317630.5</v>
      </c>
      <c r="C17" s="165">
        <v>183592432.69999999</v>
      </c>
      <c r="D17" s="165">
        <v>15794</v>
      </c>
      <c r="E17" s="166">
        <f t="shared" si="0"/>
        <v>14772.548467772573</v>
      </c>
      <c r="F17" s="166">
        <f t="shared" si="1"/>
        <v>11624.188470305178</v>
      </c>
    </row>
    <row r="18" spans="1:8" ht="13.9" x14ac:dyDescent="0.4">
      <c r="A18" s="28">
        <v>2015</v>
      </c>
      <c r="B18" s="165">
        <v>253885731.19999999</v>
      </c>
      <c r="C18" s="165">
        <v>183742467.30000001</v>
      </c>
      <c r="D18" s="165">
        <v>15764</v>
      </c>
      <c r="E18" s="166">
        <f t="shared" si="0"/>
        <v>16105.41304237503</v>
      </c>
      <c r="F18" s="166">
        <f t="shared" si="1"/>
        <v>11655.827664298402</v>
      </c>
    </row>
    <row r="19" spans="1:8" ht="13.9" x14ac:dyDescent="0.4">
      <c r="A19" s="28">
        <v>2016</v>
      </c>
      <c r="B19" s="165">
        <v>146153428.90000001</v>
      </c>
      <c r="C19" s="165">
        <v>139086666.69999999</v>
      </c>
      <c r="D19" s="165">
        <v>10259</v>
      </c>
      <c r="E19" s="166">
        <f t="shared" si="0"/>
        <v>14246.362111316894</v>
      </c>
      <c r="F19" s="166">
        <f t="shared" si="1"/>
        <v>13557.526727751241</v>
      </c>
    </row>
    <row r="20" spans="1:8" ht="13.9" x14ac:dyDescent="0.4">
      <c r="A20" s="28">
        <v>2017</v>
      </c>
      <c r="B20" s="165">
        <v>151751538.69999999</v>
      </c>
      <c r="C20" s="165">
        <v>142493920.59999999</v>
      </c>
      <c r="D20" s="165">
        <v>10073</v>
      </c>
      <c r="E20" s="166">
        <f t="shared" si="0"/>
        <v>15065.178070088354</v>
      </c>
      <c r="F20" s="166">
        <f t="shared" si="1"/>
        <v>14146.125344981634</v>
      </c>
    </row>
    <row r="21" spans="1:8" ht="13.9" x14ac:dyDescent="0.4">
      <c r="A21" s="28">
        <v>2018</v>
      </c>
      <c r="B21" s="165">
        <v>213994545.69999999</v>
      </c>
      <c r="C21" s="165">
        <v>189596991.59999999</v>
      </c>
      <c r="D21" s="165">
        <v>12088</v>
      </c>
      <c r="E21" s="166">
        <f t="shared" si="0"/>
        <v>17703.056394771673</v>
      </c>
      <c r="F21" s="166">
        <f t="shared" si="1"/>
        <v>15684.727961614824</v>
      </c>
    </row>
    <row r="22" spans="1:8" ht="13.9" x14ac:dyDescent="0.4">
      <c r="A22" s="28">
        <v>2019</v>
      </c>
      <c r="B22" s="165">
        <v>247475330.40000001</v>
      </c>
      <c r="C22" s="165">
        <v>229267678.19999999</v>
      </c>
      <c r="D22" s="165">
        <v>12144</v>
      </c>
      <c r="E22" s="166">
        <f t="shared" si="0"/>
        <v>20378.403359683794</v>
      </c>
      <c r="F22" s="166">
        <f t="shared" si="1"/>
        <v>18879.090760869563</v>
      </c>
    </row>
    <row r="23" spans="1:8" ht="13.9" x14ac:dyDescent="0.4">
      <c r="A23" s="28">
        <v>2020</v>
      </c>
      <c r="B23" s="165">
        <v>177928225</v>
      </c>
      <c r="C23" s="165">
        <v>176021591.30000001</v>
      </c>
      <c r="D23" s="165">
        <v>10400</v>
      </c>
      <c r="E23" s="166">
        <f t="shared" si="0"/>
        <v>17108.483173076922</v>
      </c>
      <c r="F23" s="166">
        <f t="shared" si="1"/>
        <v>16925.153009615387</v>
      </c>
    </row>
    <row r="24" spans="1:8" ht="13.9" x14ac:dyDescent="0.4">
      <c r="A24" s="28"/>
      <c r="B24" s="166"/>
      <c r="C24" s="166"/>
      <c r="D24" s="166"/>
      <c r="E24" s="166"/>
      <c r="F24" s="167"/>
    </row>
    <row r="26" spans="1:8" ht="16.5" customHeight="1" x14ac:dyDescent="0.4">
      <c r="A26" s="267" t="s">
        <v>421</v>
      </c>
      <c r="B26" s="267"/>
      <c r="C26" s="267"/>
      <c r="E26" s="164" t="s">
        <v>436</v>
      </c>
      <c r="G26" s="170"/>
      <c r="H26" s="170"/>
    </row>
    <row r="27" spans="1:8" ht="13.9" x14ac:dyDescent="0.35">
      <c r="A27" s="269"/>
      <c r="B27" s="269"/>
      <c r="C27" s="269"/>
      <c r="E27" s="171"/>
      <c r="G27" s="171"/>
      <c r="H27" s="171"/>
    </row>
    <row r="28" spans="1:8" ht="13.9" x14ac:dyDescent="0.4">
      <c r="A28" s="268" t="s">
        <v>424</v>
      </c>
      <c r="B28" s="268"/>
      <c r="C28" s="268"/>
      <c r="D28" s="172">
        <f>ROUND(LOGEST(E$14:E$23,$A$14:$A$23,TRUE, TRUE)-1,3)</f>
        <v>4.8000000000000001E-2</v>
      </c>
      <c r="E28" s="173">
        <f>RSQ(LN(E$14:E$23),$A$14:$A$23)</f>
        <v>0.69906315249696993</v>
      </c>
      <c r="H28" s="176"/>
    </row>
    <row r="29" spans="1:8" ht="13.9" x14ac:dyDescent="0.4">
      <c r="A29" s="268"/>
      <c r="B29" s="268"/>
      <c r="C29" s="268"/>
      <c r="D29" s="172"/>
      <c r="E29" s="173"/>
      <c r="H29" s="176"/>
    </row>
    <row r="30" spans="1:8" ht="13.9" x14ac:dyDescent="0.4">
      <c r="A30" s="268" t="s">
        <v>425</v>
      </c>
      <c r="B30" s="268"/>
      <c r="C30" s="268"/>
      <c r="D30" s="172">
        <f>ROUND(LOGEST(E$16:E$23,$A$16:$A$23,TRUE, TRUE)-1,3)</f>
        <v>5.2999999999999999E-2</v>
      </c>
      <c r="E30" s="173">
        <f>RSQ(LN(E$16:E$23),$A$16:$A$23)</f>
        <v>0.65666011459798956</v>
      </c>
      <c r="H30" s="176"/>
    </row>
    <row r="31" spans="1:8" ht="13.9" x14ac:dyDescent="0.35">
      <c r="A31" s="269"/>
      <c r="B31" s="269"/>
      <c r="C31" s="269"/>
      <c r="D31" s="172"/>
      <c r="E31" s="173"/>
      <c r="H31" s="176"/>
    </row>
    <row r="32" spans="1:8" ht="13.9" x14ac:dyDescent="0.4">
      <c r="A32" s="268" t="s">
        <v>426</v>
      </c>
      <c r="B32" s="268"/>
      <c r="C32" s="268"/>
      <c r="D32" s="172">
        <f>ROUND(LOGEST(E$18:E$23,$A$18:$A$23,TRUE, TRUE)-1,3)</f>
        <v>4.4999999999999998E-2</v>
      </c>
      <c r="E32" s="173">
        <f>RSQ(LN(E$18:E$23),$A$18:$A$23)</f>
        <v>0.41814808802302483</v>
      </c>
      <c r="H32" s="176"/>
    </row>
    <row r="33" spans="1:7" ht="13.9" x14ac:dyDescent="0.4">
      <c r="A33" s="268"/>
      <c r="B33" s="268"/>
      <c r="C33" s="268"/>
      <c r="D33" s="172"/>
      <c r="F33" s="173"/>
      <c r="G33" s="176"/>
    </row>
    <row r="34" spans="1:7" x14ac:dyDescent="0.35">
      <c r="A34" s="269"/>
      <c r="B34" s="269"/>
      <c r="C34" s="269"/>
    </row>
    <row r="35" spans="1:7" ht="13.9" x14ac:dyDescent="0.4">
      <c r="A35" s="267" t="s">
        <v>427</v>
      </c>
      <c r="B35" s="267"/>
      <c r="C35" s="267"/>
      <c r="E35" s="164" t="s">
        <v>436</v>
      </c>
    </row>
    <row r="36" spans="1:7" ht="13.9" x14ac:dyDescent="0.35">
      <c r="A36" s="269"/>
      <c r="B36" s="269"/>
      <c r="C36" s="269"/>
      <c r="D36" s="171"/>
      <c r="E36" s="171"/>
    </row>
    <row r="37" spans="1:7" ht="13.9" x14ac:dyDescent="0.4">
      <c r="A37" s="268" t="s">
        <v>424</v>
      </c>
      <c r="B37" s="268"/>
      <c r="C37" s="268"/>
      <c r="D37" s="172">
        <f>ROUND(LOGEST(F$14:F$23,$A$14:$A$23,TRUE, TRUE)-1,3)</f>
        <v>6.4000000000000001E-2</v>
      </c>
      <c r="E37" s="173">
        <f>RSQ(LN(F$14:F$23),$A$14:$A$23)</f>
        <v>0.88978122174035923</v>
      </c>
    </row>
    <row r="38" spans="1:7" ht="13.9" x14ac:dyDescent="0.4">
      <c r="A38" s="268"/>
      <c r="B38" s="268"/>
      <c r="C38" s="268"/>
      <c r="D38" s="172"/>
      <c r="E38" s="173"/>
    </row>
    <row r="39" spans="1:7" ht="13.9" x14ac:dyDescent="0.4">
      <c r="A39" s="268" t="s">
        <v>425</v>
      </c>
      <c r="B39" s="268"/>
      <c r="C39" s="268"/>
      <c r="D39" s="172">
        <f>ROUND(LOGEST(F$16:F$23,$A$16:$A$23,TRUE, TRUE)-1,3)</f>
        <v>7.4999999999999997E-2</v>
      </c>
      <c r="E39" s="173">
        <f>RSQ(LN(F$16:F$23),$A$16:$A$23)</f>
        <v>0.88973803609904212</v>
      </c>
    </row>
    <row r="40" spans="1:7" ht="13.9" x14ac:dyDescent="0.35">
      <c r="A40" s="269"/>
      <c r="B40" s="269"/>
      <c r="C40" s="269"/>
      <c r="D40" s="172"/>
      <c r="E40" s="173"/>
    </row>
    <row r="41" spans="1:7" ht="13.9" x14ac:dyDescent="0.4">
      <c r="A41" s="268" t="s">
        <v>426</v>
      </c>
      <c r="B41" s="268"/>
      <c r="C41" s="268"/>
      <c r="D41" s="172">
        <f>ROUND(LOGEST(F$18:F$23,$A$18:$A$23,TRUE, TRUE)-1,3)</f>
        <v>8.7999999999999995E-2</v>
      </c>
      <c r="E41" s="173">
        <f>RSQ(LN(F$18:F$23),$A$18:$A$23)</f>
        <v>0.85402258057790859</v>
      </c>
    </row>
    <row r="42" spans="1:7" x14ac:dyDescent="0.35">
      <c r="A42" s="269"/>
      <c r="B42" s="269"/>
      <c r="C42" s="269"/>
    </row>
    <row r="43" spans="1:7" ht="13.9" x14ac:dyDescent="0.4">
      <c r="A43" s="268" t="s">
        <v>428</v>
      </c>
      <c r="B43" s="268"/>
      <c r="C43" s="268"/>
      <c r="D43" s="172">
        <f>DZ_INPUTS!B38</f>
        <v>0.06</v>
      </c>
    </row>
  </sheetData>
  <mergeCells count="27">
    <mergeCell ref="A41:C41"/>
    <mergeCell ref="A42:C42"/>
    <mergeCell ref="A43:C43"/>
    <mergeCell ref="A35:C35"/>
    <mergeCell ref="A36:C36"/>
    <mergeCell ref="A37:C37"/>
    <mergeCell ref="A38:C38"/>
    <mergeCell ref="A39:C39"/>
    <mergeCell ref="A40:C40"/>
    <mergeCell ref="A34:C34"/>
    <mergeCell ref="A7:F7"/>
    <mergeCell ref="A8:F8"/>
    <mergeCell ref="A9:F9"/>
    <mergeCell ref="A26:C26"/>
    <mergeCell ref="A27:C27"/>
    <mergeCell ref="A28:C28"/>
    <mergeCell ref="A29:C29"/>
    <mergeCell ref="A30:C30"/>
    <mergeCell ref="A31:C31"/>
    <mergeCell ref="A32:C32"/>
    <mergeCell ref="A33:C33"/>
    <mergeCell ref="A6:F6"/>
    <mergeCell ref="A1:F1"/>
    <mergeCell ref="A2:F2"/>
    <mergeCell ref="A3:F3"/>
    <mergeCell ref="A4:F4"/>
    <mergeCell ref="A5:F5"/>
  </mergeCells>
  <printOptions horizontalCentered="1"/>
  <pageMargins left="0.25" right="0.25" top="0.75" bottom="0.75" header="0.3" footer="0.3"/>
  <pageSetup firstPageNumber="0" orientation="portrait" useFirstPageNumber="1" r:id="rId1"/>
  <headerFooter>
    <oddHeader>&amp;L&amp;"Times New Roman"&amp;9INSURANCE SERVICES OFFICE, INC.</oddHeader>
    <oddFooter>&amp;C&amp;"Times New Roman"&amp;9© Insurance Services Office, Inc., 2022        		OREGON        BP-2021-RLA1&amp;R&amp;"Times New Roman"&amp;9&amp;A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EDD7A0-33C1-422A-A853-70B8AA5D2752}">
  <sheetPr>
    <pageSetUpPr fitToPage="1"/>
  </sheetPr>
  <dimension ref="A1:H43"/>
  <sheetViews>
    <sheetView zoomScale="85" zoomScaleNormal="85" workbookViewId="0">
      <selection sqref="A1:F1"/>
    </sheetView>
  </sheetViews>
  <sheetFormatPr defaultRowHeight="12.75" x14ac:dyDescent="0.35"/>
  <cols>
    <col min="1" max="1" width="11.3984375" style="84" customWidth="1"/>
    <col min="2" max="2" width="14.3984375" style="84" customWidth="1"/>
    <col min="3" max="3" width="13.73046875" style="84" customWidth="1"/>
    <col min="4" max="4" width="13" style="84" customWidth="1"/>
    <col min="5" max="5" width="13.265625" style="84" bestFit="1" customWidth="1"/>
    <col min="6" max="6" width="11.59765625" style="84" customWidth="1"/>
    <col min="7" max="7" width="10.59765625" style="84" customWidth="1"/>
    <col min="8" max="16384" width="9.06640625" style="84"/>
  </cols>
  <sheetData>
    <row r="1" spans="1:6" ht="13.9" x14ac:dyDescent="0.4">
      <c r="A1" s="266" t="str">
        <f>UPPER(state)</f>
        <v>OREGON</v>
      </c>
      <c r="B1" s="266"/>
      <c r="C1" s="266"/>
      <c r="D1" s="266"/>
      <c r="E1" s="266"/>
      <c r="F1" s="266"/>
    </row>
    <row r="2" spans="1:6" ht="13.9" x14ac:dyDescent="0.4">
      <c r="A2" s="266"/>
      <c r="B2" s="266"/>
      <c r="C2" s="266"/>
      <c r="D2" s="266"/>
      <c r="E2" s="266"/>
      <c r="F2" s="266"/>
    </row>
    <row r="3" spans="1:6" ht="13.9" x14ac:dyDescent="0.4">
      <c r="A3" s="266" t="s">
        <v>153</v>
      </c>
      <c r="B3" s="266"/>
      <c r="C3" s="266"/>
      <c r="D3" s="266"/>
      <c r="E3" s="266"/>
      <c r="F3" s="266"/>
    </row>
    <row r="4" spans="1:6" ht="13.9" x14ac:dyDescent="0.4">
      <c r="A4" s="266"/>
      <c r="B4" s="266"/>
      <c r="C4" s="266"/>
      <c r="D4" s="266"/>
      <c r="E4" s="266"/>
      <c r="F4" s="266"/>
    </row>
    <row r="5" spans="1:6" ht="13.9" x14ac:dyDescent="0.4">
      <c r="A5" s="266" t="s">
        <v>441</v>
      </c>
      <c r="B5" s="266"/>
      <c r="C5" s="266"/>
      <c r="D5" s="266"/>
      <c r="E5" s="266"/>
      <c r="F5" s="266"/>
    </row>
    <row r="6" spans="1:6" ht="13.9" x14ac:dyDescent="0.4">
      <c r="A6" s="266"/>
      <c r="B6" s="266"/>
      <c r="C6" s="266"/>
      <c r="D6" s="266"/>
      <c r="E6" s="266"/>
      <c r="F6" s="266"/>
    </row>
    <row r="7" spans="1:6" ht="13.9" x14ac:dyDescent="0.4">
      <c r="A7" s="266" t="s">
        <v>442</v>
      </c>
      <c r="B7" s="266"/>
      <c r="C7" s="266"/>
      <c r="D7" s="266"/>
      <c r="E7" s="266"/>
      <c r="F7" s="266"/>
    </row>
    <row r="8" spans="1:6" ht="13.9" x14ac:dyDescent="0.4">
      <c r="A8" s="266"/>
      <c r="B8" s="266"/>
      <c r="C8" s="266"/>
      <c r="D8" s="266"/>
      <c r="E8" s="266"/>
      <c r="F8" s="266"/>
    </row>
    <row r="9" spans="1:6" ht="13.9" x14ac:dyDescent="0.4">
      <c r="A9" s="266" t="s">
        <v>435</v>
      </c>
      <c r="B9" s="266"/>
      <c r="C9" s="266"/>
      <c r="D9" s="266"/>
      <c r="E9" s="266"/>
      <c r="F9" s="266"/>
    </row>
    <row r="11" spans="1:6" ht="13.9" x14ac:dyDescent="0.4">
      <c r="E11" s="38" t="s">
        <v>408</v>
      </c>
      <c r="F11" s="38" t="s">
        <v>408</v>
      </c>
    </row>
    <row r="12" spans="1:6" ht="13.9" x14ac:dyDescent="0.4">
      <c r="A12" s="38" t="s">
        <v>409</v>
      </c>
      <c r="B12" s="38" t="s">
        <v>288</v>
      </c>
      <c r="C12" s="38" t="s">
        <v>411</v>
      </c>
      <c r="D12" s="38" t="s">
        <v>412</v>
      </c>
      <c r="E12" s="38" t="s">
        <v>413</v>
      </c>
      <c r="F12" s="38" t="s">
        <v>413</v>
      </c>
    </row>
    <row r="13" spans="1:6" ht="13.9" x14ac:dyDescent="0.4">
      <c r="A13" s="164" t="s">
        <v>109</v>
      </c>
      <c r="B13" s="164" t="s">
        <v>416</v>
      </c>
      <c r="C13" s="164" t="s">
        <v>416</v>
      </c>
      <c r="D13" s="164" t="s">
        <v>417</v>
      </c>
      <c r="E13" s="164" t="s">
        <v>418</v>
      </c>
      <c r="F13" s="164" t="s">
        <v>419</v>
      </c>
    </row>
    <row r="14" spans="1:6" ht="13.9" x14ac:dyDescent="0.4">
      <c r="A14" s="28">
        <v>2011</v>
      </c>
      <c r="B14" s="165">
        <v>107927842.2</v>
      </c>
      <c r="C14" s="165">
        <v>96190648.390000001</v>
      </c>
      <c r="D14" s="165">
        <v>10177</v>
      </c>
      <c r="E14" s="166">
        <f>B14/D14</f>
        <v>10605.074403065737</v>
      </c>
      <c r="F14" s="166">
        <f>C14/D14</f>
        <v>9451.7685359143161</v>
      </c>
    </row>
    <row r="15" spans="1:6" ht="13.9" x14ac:dyDescent="0.4">
      <c r="A15" s="28">
        <v>2012</v>
      </c>
      <c r="B15" s="165">
        <v>103537534.3</v>
      </c>
      <c r="C15" s="165">
        <v>97526891.769999996</v>
      </c>
      <c r="D15" s="165">
        <v>11068</v>
      </c>
      <c r="E15" s="166">
        <f t="shared" ref="E15:E23" si="0">B15/D15</f>
        <v>9354.6742229851825</v>
      </c>
      <c r="F15" s="166">
        <f t="shared" ref="F15:F23" si="1">C15/D15</f>
        <v>8811.6093033971811</v>
      </c>
    </row>
    <row r="16" spans="1:6" ht="13.9" x14ac:dyDescent="0.4">
      <c r="A16" s="28">
        <v>2013</v>
      </c>
      <c r="B16" s="165">
        <v>106035659.5</v>
      </c>
      <c r="C16" s="165">
        <v>100236696.40000001</v>
      </c>
      <c r="D16" s="165">
        <v>9927</v>
      </c>
      <c r="E16" s="166">
        <f t="shared" si="0"/>
        <v>10681.541200765589</v>
      </c>
      <c r="F16" s="166">
        <f t="shared" si="1"/>
        <v>10097.380517779793</v>
      </c>
    </row>
    <row r="17" spans="1:8" ht="13.9" x14ac:dyDescent="0.4">
      <c r="A17" s="28">
        <v>2014</v>
      </c>
      <c r="B17" s="165">
        <v>116352952.5</v>
      </c>
      <c r="C17" s="165">
        <v>93969412.569999993</v>
      </c>
      <c r="D17" s="165">
        <v>9710</v>
      </c>
      <c r="E17" s="166">
        <f t="shared" si="0"/>
        <v>11982.796343975284</v>
      </c>
      <c r="F17" s="166">
        <f t="shared" si="1"/>
        <v>9677.5914078269816</v>
      </c>
    </row>
    <row r="18" spans="1:8" ht="13.9" x14ac:dyDescent="0.4">
      <c r="A18" s="28">
        <v>2015</v>
      </c>
      <c r="B18" s="165">
        <v>101167037.8</v>
      </c>
      <c r="C18" s="165">
        <v>89273724.920000002</v>
      </c>
      <c r="D18" s="165">
        <v>8214</v>
      </c>
      <c r="E18" s="166">
        <f t="shared" si="0"/>
        <v>12316.415607499392</v>
      </c>
      <c r="F18" s="166">
        <f t="shared" si="1"/>
        <v>10868.483676649623</v>
      </c>
    </row>
    <row r="19" spans="1:8" ht="13.9" x14ac:dyDescent="0.4">
      <c r="A19" s="28">
        <v>2016</v>
      </c>
      <c r="B19" s="165">
        <v>96068403.099999994</v>
      </c>
      <c r="C19" s="165">
        <v>90558117.409999996</v>
      </c>
      <c r="D19" s="165">
        <v>7644</v>
      </c>
      <c r="E19" s="166">
        <f t="shared" si="0"/>
        <v>12567.818301936159</v>
      </c>
      <c r="F19" s="166">
        <f t="shared" si="1"/>
        <v>11846.954135269492</v>
      </c>
    </row>
    <row r="20" spans="1:8" ht="13.9" x14ac:dyDescent="0.4">
      <c r="A20" s="28">
        <v>2017</v>
      </c>
      <c r="B20" s="165">
        <v>105814735.3</v>
      </c>
      <c r="C20" s="165">
        <v>101150578.8</v>
      </c>
      <c r="D20" s="165">
        <v>7583</v>
      </c>
      <c r="E20" s="166">
        <f t="shared" si="0"/>
        <v>13954.204839773176</v>
      </c>
      <c r="F20" s="166">
        <f t="shared" si="1"/>
        <v>13339.124198865884</v>
      </c>
    </row>
    <row r="21" spans="1:8" ht="13.9" x14ac:dyDescent="0.4">
      <c r="A21" s="28">
        <v>2018</v>
      </c>
      <c r="B21" s="165">
        <v>133892398.09999999</v>
      </c>
      <c r="C21" s="165">
        <v>117171871.7</v>
      </c>
      <c r="D21" s="165">
        <v>8763</v>
      </c>
      <c r="E21" s="166">
        <f t="shared" si="0"/>
        <v>15279.287698276845</v>
      </c>
      <c r="F21" s="166">
        <f t="shared" si="1"/>
        <v>13371.205260755449</v>
      </c>
    </row>
    <row r="22" spans="1:8" ht="13.9" x14ac:dyDescent="0.4">
      <c r="A22" s="28">
        <v>2019</v>
      </c>
      <c r="B22" s="165">
        <v>141674700.09999999</v>
      </c>
      <c r="C22" s="165">
        <v>133832913.5</v>
      </c>
      <c r="D22" s="165">
        <v>8434</v>
      </c>
      <c r="E22" s="166">
        <f t="shared" si="0"/>
        <v>16798.043644771165</v>
      </c>
      <c r="F22" s="166">
        <f t="shared" si="1"/>
        <v>15868.261026796301</v>
      </c>
    </row>
    <row r="23" spans="1:8" ht="13.9" x14ac:dyDescent="0.4">
      <c r="A23" s="28">
        <v>2020</v>
      </c>
      <c r="B23" s="165">
        <v>126486234.5</v>
      </c>
      <c r="C23" s="165">
        <v>125496150.09999999</v>
      </c>
      <c r="D23" s="165">
        <v>8111</v>
      </c>
      <c r="E23" s="166">
        <f t="shared" si="0"/>
        <v>15594.406916533104</v>
      </c>
      <c r="F23" s="166">
        <f t="shared" si="1"/>
        <v>15472.340044384169</v>
      </c>
    </row>
    <row r="24" spans="1:8" ht="13.9" x14ac:dyDescent="0.4">
      <c r="A24" s="28"/>
      <c r="B24" s="166"/>
      <c r="C24" s="166"/>
      <c r="D24" s="166"/>
      <c r="E24" s="166"/>
      <c r="F24" s="167"/>
    </row>
    <row r="26" spans="1:8" ht="15" customHeight="1" x14ac:dyDescent="0.4">
      <c r="A26" s="267" t="s">
        <v>421</v>
      </c>
      <c r="B26" s="267"/>
      <c r="C26" s="267"/>
      <c r="E26" s="164" t="s">
        <v>436</v>
      </c>
      <c r="G26" s="170"/>
      <c r="H26" s="170"/>
    </row>
    <row r="27" spans="1:8" ht="13.9" x14ac:dyDescent="0.35">
      <c r="A27" s="269"/>
      <c r="B27" s="269"/>
      <c r="C27" s="269"/>
      <c r="E27" s="171"/>
      <c r="G27" s="171"/>
      <c r="H27" s="171"/>
    </row>
    <row r="28" spans="1:8" ht="13.9" x14ac:dyDescent="0.4">
      <c r="A28" s="268" t="s">
        <v>424</v>
      </c>
      <c r="B28" s="268"/>
      <c r="C28" s="268"/>
      <c r="D28" s="172">
        <f>ROUND(LOGEST(E$14:E$23,$A$14:$A$23,TRUE, TRUE)-1,3)</f>
        <v>6.0999999999999999E-2</v>
      </c>
      <c r="E28" s="173">
        <f>RSQ(LN(E14:E23),A14:A23)</f>
        <v>0.90530953377367074</v>
      </c>
      <c r="H28" s="176"/>
    </row>
    <row r="29" spans="1:8" ht="13.9" x14ac:dyDescent="0.4">
      <c r="A29" s="268"/>
      <c r="B29" s="268"/>
      <c r="C29" s="268"/>
      <c r="D29" s="172"/>
      <c r="E29" s="173"/>
      <c r="H29" s="176"/>
    </row>
    <row r="30" spans="1:8" ht="13.9" x14ac:dyDescent="0.4">
      <c r="A30" s="268" t="s">
        <v>425</v>
      </c>
      <c r="B30" s="268"/>
      <c r="C30" s="268"/>
      <c r="D30" s="172">
        <f>ROUND(LOGEST(E$16:E$23,$A$16:$A$23,TRUE, TRUE)-1,3)</f>
        <v>6.2E-2</v>
      </c>
      <c r="E30" s="173">
        <f>RSQ(LN(E$16:E$23),$A$16:$A$23)</f>
        <v>0.91987723959054313</v>
      </c>
      <c r="H30" s="176"/>
    </row>
    <row r="31" spans="1:8" ht="13.9" x14ac:dyDescent="0.35">
      <c r="A31" s="269"/>
      <c r="B31" s="269"/>
      <c r="C31" s="269"/>
      <c r="D31" s="172"/>
      <c r="E31" s="173"/>
      <c r="H31" s="176"/>
    </row>
    <row r="32" spans="1:8" ht="13.9" x14ac:dyDescent="0.4">
      <c r="A32" s="268" t="s">
        <v>426</v>
      </c>
      <c r="B32" s="268"/>
      <c r="C32" s="268"/>
      <c r="D32" s="172">
        <f>ROUND(LOGEST(E$18:E$23,$A$18:$A$23,TRUE, TRUE)-1,3)</f>
        <v>6.3E-2</v>
      </c>
      <c r="E32" s="173">
        <f>RSQ(LN(E$18:E$23),$A$18:$A$23)</f>
        <v>0.84638573645302351</v>
      </c>
      <c r="H32" s="176"/>
    </row>
    <row r="33" spans="1:7" ht="13.9" x14ac:dyDescent="0.4">
      <c r="A33" s="268"/>
      <c r="B33" s="268"/>
      <c r="C33" s="268"/>
      <c r="D33" s="172"/>
      <c r="G33" s="176"/>
    </row>
    <row r="34" spans="1:7" x14ac:dyDescent="0.35">
      <c r="A34" s="269"/>
      <c r="B34" s="269"/>
      <c r="C34" s="269"/>
    </row>
    <row r="35" spans="1:7" ht="15" customHeight="1" x14ac:dyDescent="0.4">
      <c r="A35" s="267" t="s">
        <v>427</v>
      </c>
      <c r="B35" s="267"/>
      <c r="C35" s="267"/>
      <c r="E35" s="164" t="s">
        <v>436</v>
      </c>
    </row>
    <row r="36" spans="1:7" ht="13.9" x14ac:dyDescent="0.35">
      <c r="A36" s="269"/>
      <c r="B36" s="269"/>
      <c r="C36" s="269"/>
      <c r="D36" s="171"/>
      <c r="E36" s="171"/>
    </row>
    <row r="37" spans="1:7" ht="13.9" x14ac:dyDescent="0.4">
      <c r="A37" s="268" t="s">
        <v>424</v>
      </c>
      <c r="B37" s="268"/>
      <c r="C37" s="268"/>
      <c r="D37" s="172">
        <f>ROUND(LOGEST(F$14:F$23,$A$14:$A$23,TRUE, TRUE)-1,3)</f>
        <v>6.9000000000000006E-2</v>
      </c>
      <c r="E37" s="173">
        <f>RSQ(LN(F$14:F$23),$A$14:$A$23)</f>
        <v>0.92938591661084935</v>
      </c>
    </row>
    <row r="38" spans="1:7" ht="13.9" x14ac:dyDescent="0.4">
      <c r="A38" s="268"/>
      <c r="B38" s="268"/>
      <c r="C38" s="268"/>
      <c r="D38" s="172"/>
      <c r="E38" s="173"/>
    </row>
    <row r="39" spans="1:7" ht="13.9" x14ac:dyDescent="0.4">
      <c r="A39" s="268" t="s">
        <v>425</v>
      </c>
      <c r="B39" s="268"/>
      <c r="C39" s="268"/>
      <c r="D39" s="172">
        <f>ROUND(LOGEST(F$16:F$23,$A$16:$A$23,TRUE, TRUE)-1,3)</f>
        <v>7.6999999999999999E-2</v>
      </c>
      <c r="E39" s="173">
        <f>RSQ(LN(F$16:F$23),$A$16:$A$23)</f>
        <v>0.93815999039127673</v>
      </c>
    </row>
    <row r="40" spans="1:7" ht="13.9" x14ac:dyDescent="0.35">
      <c r="A40" s="269"/>
      <c r="B40" s="269"/>
      <c r="C40" s="269"/>
      <c r="D40" s="172"/>
      <c r="E40" s="173"/>
    </row>
    <row r="41" spans="1:7" ht="13.9" x14ac:dyDescent="0.4">
      <c r="A41" s="268" t="s">
        <v>426</v>
      </c>
      <c r="B41" s="268"/>
      <c r="C41" s="268"/>
      <c r="D41" s="172">
        <f>ROUND(LOGEST(F$18:F$23,$A$18:$A$23,TRUE, TRUE)-1,3)</f>
        <v>7.9000000000000001E-2</v>
      </c>
      <c r="E41" s="173">
        <f>RSQ(LN(F$18:F$23),$A$18:$A$23)</f>
        <v>0.92385123569635608</v>
      </c>
    </row>
    <row r="42" spans="1:7" x14ac:dyDescent="0.35">
      <c r="A42" s="269"/>
      <c r="B42" s="269"/>
      <c r="C42" s="269"/>
    </row>
    <row r="43" spans="1:7" ht="13.9" x14ac:dyDescent="0.4">
      <c r="A43" s="268" t="s">
        <v>428</v>
      </c>
      <c r="B43" s="268"/>
      <c r="C43" s="268"/>
      <c r="D43" s="172">
        <f>DZ_INPUTS!B39</f>
        <v>6.5000000000000002E-2</v>
      </c>
    </row>
  </sheetData>
  <mergeCells count="27">
    <mergeCell ref="A41:C41"/>
    <mergeCell ref="A42:C42"/>
    <mergeCell ref="A43:C43"/>
    <mergeCell ref="A35:C35"/>
    <mergeCell ref="A36:C36"/>
    <mergeCell ref="A37:C37"/>
    <mergeCell ref="A38:C38"/>
    <mergeCell ref="A39:C39"/>
    <mergeCell ref="A40:C40"/>
    <mergeCell ref="A34:C34"/>
    <mergeCell ref="A7:F7"/>
    <mergeCell ref="A8:F8"/>
    <mergeCell ref="A9:F9"/>
    <mergeCell ref="A26:C26"/>
    <mergeCell ref="A27:C27"/>
    <mergeCell ref="A28:C28"/>
    <mergeCell ref="A29:C29"/>
    <mergeCell ref="A30:C30"/>
    <mergeCell ref="A31:C31"/>
    <mergeCell ref="A32:C32"/>
    <mergeCell ref="A33:C33"/>
    <mergeCell ref="A6:F6"/>
    <mergeCell ref="A1:F1"/>
    <mergeCell ref="A2:F2"/>
    <mergeCell ref="A3:F3"/>
    <mergeCell ref="A4:F4"/>
    <mergeCell ref="A5:F5"/>
  </mergeCells>
  <printOptions horizontalCentered="1"/>
  <pageMargins left="0.25" right="0.25" top="0.75" bottom="0.75" header="0.3" footer="0.3"/>
  <pageSetup firstPageNumber="0" orientation="portrait" useFirstPageNumber="1" r:id="rId1"/>
  <headerFooter>
    <oddHeader>&amp;L&amp;"Times New Roman"&amp;9INSURANCE SERVICES OFFICE, INC.</oddHeader>
    <oddFooter>&amp;C&amp;"Times New Roman"&amp;9© Insurance Services Office, Inc., 2022        		OREGON        BP-2021-RLA1&amp;R&amp;"Times New Roman"&amp;9&amp;A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DCF2F-D56A-456D-A7FC-BEF9AECD336C}">
  <sheetPr>
    <pageSetUpPr fitToPage="1"/>
  </sheetPr>
  <dimension ref="A1:H48"/>
  <sheetViews>
    <sheetView zoomScale="85" zoomScaleNormal="85" workbookViewId="0">
      <selection sqref="A1:H1"/>
    </sheetView>
  </sheetViews>
  <sheetFormatPr defaultRowHeight="12.75" x14ac:dyDescent="0.35"/>
  <cols>
    <col min="1" max="1" width="11.3984375" style="84" customWidth="1"/>
    <col min="2" max="2" width="14.3984375" style="84" customWidth="1"/>
    <col min="3" max="3" width="13.73046875" style="84" customWidth="1"/>
    <col min="4" max="5" width="13" style="84" customWidth="1"/>
    <col min="6" max="6" width="11.86328125" style="84" customWidth="1"/>
    <col min="7" max="7" width="11.59765625" style="84" customWidth="1"/>
    <col min="8" max="8" width="13.265625" style="84" bestFit="1" customWidth="1"/>
    <col min="9" max="16384" width="9.06640625" style="84"/>
  </cols>
  <sheetData>
    <row r="1" spans="1:8" ht="13.9" x14ac:dyDescent="0.4">
      <c r="A1" s="266" t="str">
        <f>UPPER(state)</f>
        <v>OREGON</v>
      </c>
      <c r="B1" s="266"/>
      <c r="C1" s="266"/>
      <c r="D1" s="266"/>
      <c r="E1" s="266"/>
      <c r="F1" s="266"/>
      <c r="G1" s="266"/>
      <c r="H1" s="266"/>
    </row>
    <row r="2" spans="1:8" ht="13.9" x14ac:dyDescent="0.4">
      <c r="A2" s="266"/>
      <c r="B2" s="266"/>
      <c r="C2" s="266"/>
      <c r="D2" s="266"/>
      <c r="E2" s="266"/>
      <c r="F2" s="266"/>
      <c r="G2" s="266"/>
      <c r="H2" s="266"/>
    </row>
    <row r="3" spans="1:8" ht="13.9" x14ac:dyDescent="0.4">
      <c r="A3" s="266" t="s">
        <v>153</v>
      </c>
      <c r="B3" s="266"/>
      <c r="C3" s="266"/>
      <c r="D3" s="266"/>
      <c r="E3" s="266"/>
      <c r="F3" s="266"/>
      <c r="G3" s="266"/>
      <c r="H3" s="266"/>
    </row>
    <row r="4" spans="1:8" ht="13.9" x14ac:dyDescent="0.4">
      <c r="A4" s="266"/>
      <c r="B4" s="266"/>
      <c r="C4" s="266"/>
      <c r="D4" s="266"/>
      <c r="E4" s="266"/>
      <c r="F4" s="266"/>
      <c r="G4" s="266"/>
      <c r="H4" s="266"/>
    </row>
    <row r="5" spans="1:8" ht="13.9" x14ac:dyDescent="0.4">
      <c r="A5" s="266" t="s">
        <v>443</v>
      </c>
      <c r="B5" s="266"/>
      <c r="C5" s="266"/>
      <c r="D5" s="266"/>
      <c r="E5" s="266"/>
      <c r="F5" s="266"/>
      <c r="G5" s="266"/>
      <c r="H5" s="266"/>
    </row>
    <row r="6" spans="1:8" ht="13.9" x14ac:dyDescent="0.4">
      <c r="A6" s="266"/>
      <c r="B6" s="266"/>
      <c r="C6" s="266"/>
      <c r="D6" s="266"/>
      <c r="E6" s="266"/>
      <c r="F6" s="266"/>
      <c r="G6" s="266"/>
      <c r="H6" s="266"/>
    </row>
    <row r="7" spans="1:8" ht="13.9" x14ac:dyDescent="0.4">
      <c r="A7" s="266" t="s">
        <v>444</v>
      </c>
      <c r="B7" s="266"/>
      <c r="C7" s="266"/>
      <c r="D7" s="266"/>
      <c r="E7" s="266"/>
      <c r="F7" s="266"/>
      <c r="G7" s="266"/>
      <c r="H7" s="266"/>
    </row>
    <row r="8" spans="1:8" ht="13.9" x14ac:dyDescent="0.4">
      <c r="A8" s="266"/>
      <c r="B8" s="266"/>
      <c r="C8" s="266"/>
      <c r="D8" s="266"/>
      <c r="E8" s="266"/>
      <c r="F8" s="266"/>
      <c r="G8" s="266"/>
      <c r="H8" s="266"/>
    </row>
    <row r="9" spans="1:8" ht="13.9" x14ac:dyDescent="0.4">
      <c r="A9" s="266" t="s">
        <v>407</v>
      </c>
      <c r="B9" s="266"/>
      <c r="C9" s="266"/>
      <c r="D9" s="266"/>
      <c r="E9" s="266"/>
      <c r="F9" s="266"/>
      <c r="G9" s="266"/>
      <c r="H9" s="266"/>
    </row>
    <row r="11" spans="1:8" ht="13.9" x14ac:dyDescent="0.4">
      <c r="F11" s="38" t="s">
        <v>408</v>
      </c>
      <c r="G11" s="38" t="s">
        <v>408</v>
      </c>
      <c r="H11" s="38"/>
    </row>
    <row r="12" spans="1:8" ht="13.9" x14ac:dyDescent="0.4">
      <c r="A12" s="38" t="s">
        <v>409</v>
      </c>
      <c r="B12" s="38" t="s">
        <v>410</v>
      </c>
      <c r="C12" s="38" t="s">
        <v>288</v>
      </c>
      <c r="D12" s="38" t="s">
        <v>411</v>
      </c>
      <c r="E12" s="38" t="s">
        <v>412</v>
      </c>
      <c r="F12" s="38" t="s">
        <v>413</v>
      </c>
      <c r="G12" s="38" t="s">
        <v>413</v>
      </c>
      <c r="H12" s="38" t="s">
        <v>414</v>
      </c>
    </row>
    <row r="13" spans="1:8" ht="13.9" x14ac:dyDescent="0.4">
      <c r="A13" s="164" t="s">
        <v>109</v>
      </c>
      <c r="B13" s="164" t="s">
        <v>415</v>
      </c>
      <c r="C13" s="164" t="s">
        <v>416</v>
      </c>
      <c r="D13" s="164" t="s">
        <v>416</v>
      </c>
      <c r="E13" s="164" t="s">
        <v>417</v>
      </c>
      <c r="F13" s="164" t="s">
        <v>418</v>
      </c>
      <c r="G13" s="164" t="s">
        <v>419</v>
      </c>
      <c r="H13" s="164" t="s">
        <v>420</v>
      </c>
    </row>
    <row r="14" spans="1:8" ht="13.9" x14ac:dyDescent="0.4">
      <c r="A14" s="28">
        <v>2011</v>
      </c>
      <c r="B14" s="165">
        <v>8619074627.8864002</v>
      </c>
      <c r="C14" s="165">
        <v>17228303.998</v>
      </c>
      <c r="D14" s="165">
        <v>16786111.998</v>
      </c>
      <c r="E14" s="165">
        <v>3101</v>
      </c>
      <c r="F14" s="166">
        <f>C14/E14</f>
        <v>5555.7252492744274</v>
      </c>
      <c r="G14" s="166">
        <f>D14/E14</f>
        <v>5413.1286675266047</v>
      </c>
      <c r="H14" s="167">
        <f t="shared" ref="H14:H23" si="0">E14/B14*100000</f>
        <v>3.5978340296148922E-2</v>
      </c>
    </row>
    <row r="15" spans="1:8" ht="13.9" x14ac:dyDescent="0.4">
      <c r="A15" s="28">
        <v>2012</v>
      </c>
      <c r="B15" s="165">
        <v>8505580948.9033594</v>
      </c>
      <c r="C15" s="165">
        <v>17942966.998999998</v>
      </c>
      <c r="D15" s="165">
        <v>16939704.998999998</v>
      </c>
      <c r="E15" s="165">
        <v>3026</v>
      </c>
      <c r="F15" s="166">
        <f t="shared" ref="F15:F23" si="1">C15/E15</f>
        <v>5929.599140449438</v>
      </c>
      <c r="G15" s="166">
        <f t="shared" ref="G15:G23" si="2">D15/E15</f>
        <v>5598.0518833443484</v>
      </c>
      <c r="H15" s="167">
        <f t="shared" si="0"/>
        <v>3.5576641009925934E-2</v>
      </c>
    </row>
    <row r="16" spans="1:8" ht="13.9" x14ac:dyDescent="0.4">
      <c r="A16" s="28">
        <v>2013</v>
      </c>
      <c r="B16" s="165">
        <v>8149387522.5504608</v>
      </c>
      <c r="C16" s="165">
        <v>15843237.002</v>
      </c>
      <c r="D16" s="165">
        <v>15273164.997</v>
      </c>
      <c r="E16" s="165">
        <v>2551</v>
      </c>
      <c r="F16" s="166">
        <f t="shared" si="1"/>
        <v>6210.5985895727163</v>
      </c>
      <c r="G16" s="166">
        <f t="shared" si="2"/>
        <v>5987.1285758526064</v>
      </c>
      <c r="H16" s="167">
        <f t="shared" si="0"/>
        <v>3.1302965933832902E-2</v>
      </c>
    </row>
    <row r="17" spans="1:8" ht="13.9" x14ac:dyDescent="0.4">
      <c r="A17" s="28">
        <v>2014</v>
      </c>
      <c r="B17" s="165">
        <v>7960763976.7252502</v>
      </c>
      <c r="C17" s="165">
        <v>18339711.002</v>
      </c>
      <c r="D17" s="165">
        <v>17496852.002</v>
      </c>
      <c r="E17" s="165">
        <v>2708</v>
      </c>
      <c r="F17" s="166">
        <f t="shared" si="1"/>
        <v>6772.4191292466767</v>
      </c>
      <c r="G17" s="166">
        <f t="shared" si="2"/>
        <v>6461.171344903988</v>
      </c>
      <c r="H17" s="167">
        <f t="shared" si="0"/>
        <v>3.4016835669507771E-2</v>
      </c>
    </row>
    <row r="18" spans="1:8" ht="13.9" x14ac:dyDescent="0.4">
      <c r="A18" s="28">
        <v>2015</v>
      </c>
      <c r="B18" s="165">
        <v>7697534857.7023697</v>
      </c>
      <c r="C18" s="165">
        <v>19479067.995000001</v>
      </c>
      <c r="D18" s="165">
        <v>18221456.997000001</v>
      </c>
      <c r="E18" s="165">
        <v>2662</v>
      </c>
      <c r="F18" s="166">
        <f t="shared" si="1"/>
        <v>7317.4560462058607</v>
      </c>
      <c r="G18" s="166">
        <f t="shared" si="2"/>
        <v>6845.0251679188586</v>
      </c>
      <c r="H18" s="167">
        <f t="shared" si="0"/>
        <v>3.4582500101786845E-2</v>
      </c>
    </row>
    <row r="19" spans="1:8" ht="13.9" x14ac:dyDescent="0.4">
      <c r="A19" s="28">
        <v>2016</v>
      </c>
      <c r="B19" s="165">
        <v>7631003771.5789795</v>
      </c>
      <c r="C19" s="165">
        <v>19072594.004000001</v>
      </c>
      <c r="D19" s="165">
        <v>18359883.004000001</v>
      </c>
      <c r="E19" s="165">
        <v>2712</v>
      </c>
      <c r="F19" s="166">
        <f t="shared" si="1"/>
        <v>7032.6674056047204</v>
      </c>
      <c r="G19" s="166">
        <f t="shared" si="2"/>
        <v>6769.8683643067852</v>
      </c>
      <c r="H19" s="167">
        <f t="shared" si="0"/>
        <v>3.5539230239940538E-2</v>
      </c>
    </row>
    <row r="20" spans="1:8" ht="13.9" x14ac:dyDescent="0.4">
      <c r="A20" s="28">
        <v>2017</v>
      </c>
      <c r="B20" s="165">
        <v>8256518692.0867596</v>
      </c>
      <c r="C20" s="165">
        <v>22620856.998</v>
      </c>
      <c r="D20" s="165">
        <v>21471546.998</v>
      </c>
      <c r="E20" s="165">
        <v>3018</v>
      </c>
      <c r="F20" s="166">
        <f t="shared" si="1"/>
        <v>7495.3137833001983</v>
      </c>
      <c r="G20" s="166">
        <f t="shared" si="2"/>
        <v>7114.4953605036444</v>
      </c>
      <c r="H20" s="167">
        <f t="shared" si="0"/>
        <v>3.6552936080584686E-2</v>
      </c>
    </row>
    <row r="21" spans="1:8" ht="13.9" x14ac:dyDescent="0.4">
      <c r="A21" s="28">
        <v>2018</v>
      </c>
      <c r="B21" s="165">
        <v>8891939776.1796799</v>
      </c>
      <c r="C21" s="165">
        <v>24995149.998</v>
      </c>
      <c r="D21" s="165">
        <v>22744122.003000002</v>
      </c>
      <c r="E21" s="165">
        <v>3036</v>
      </c>
      <c r="F21" s="166">
        <f t="shared" si="1"/>
        <v>8232.9216067193684</v>
      </c>
      <c r="G21" s="166">
        <f t="shared" si="2"/>
        <v>7491.4762855731233</v>
      </c>
      <c r="H21" s="167">
        <f t="shared" si="0"/>
        <v>3.4143281178456004E-2</v>
      </c>
    </row>
    <row r="22" spans="1:8" ht="13.9" x14ac:dyDescent="0.4">
      <c r="A22" s="28">
        <v>2019</v>
      </c>
      <c r="B22" s="165">
        <v>9131112862.2479591</v>
      </c>
      <c r="C22" s="165">
        <v>22753143</v>
      </c>
      <c r="D22" s="165">
        <v>21959824.001999997</v>
      </c>
      <c r="E22" s="165">
        <v>2870</v>
      </c>
      <c r="F22" s="166">
        <f t="shared" si="1"/>
        <v>7927.9243902439021</v>
      </c>
      <c r="G22" s="166">
        <f t="shared" si="2"/>
        <v>7651.5066209059223</v>
      </c>
      <c r="H22" s="167">
        <f t="shared" si="0"/>
        <v>3.1430999082990685E-2</v>
      </c>
    </row>
    <row r="23" spans="1:8" ht="13.9" x14ac:dyDescent="0.4">
      <c r="A23" s="28">
        <v>2020</v>
      </c>
      <c r="B23" s="165">
        <v>9274357604.9617405</v>
      </c>
      <c r="C23" s="165">
        <v>24829334.984000001</v>
      </c>
      <c r="D23" s="165">
        <v>22885182.978999998</v>
      </c>
      <c r="E23" s="165">
        <v>2938</v>
      </c>
      <c r="F23" s="166">
        <f t="shared" si="1"/>
        <v>8451.1010837304293</v>
      </c>
      <c r="G23" s="166">
        <f t="shared" si="2"/>
        <v>7789.3747375765824</v>
      </c>
      <c r="H23" s="167">
        <f t="shared" si="0"/>
        <v>3.167874396419848E-2</v>
      </c>
    </row>
    <row r="24" spans="1:8" ht="13.9" x14ac:dyDescent="0.4">
      <c r="A24" s="28"/>
      <c r="B24" s="166"/>
      <c r="C24" s="166"/>
      <c r="D24" s="166"/>
      <c r="E24" s="166"/>
      <c r="F24" s="166"/>
      <c r="G24" s="166"/>
      <c r="H24" s="167"/>
    </row>
    <row r="26" spans="1:8" ht="13.9" x14ac:dyDescent="0.4">
      <c r="A26" s="267" t="s">
        <v>421</v>
      </c>
      <c r="B26" s="267"/>
      <c r="C26" s="267"/>
      <c r="F26" s="170" t="s">
        <v>422</v>
      </c>
      <c r="G26" s="170"/>
    </row>
    <row r="27" spans="1:8" ht="13.9" x14ac:dyDescent="0.35">
      <c r="A27" s="269"/>
      <c r="B27" s="269"/>
      <c r="C27" s="269"/>
      <c r="D27" s="171" t="s">
        <v>366</v>
      </c>
      <c r="E27" s="171" t="s">
        <v>372</v>
      </c>
      <c r="F27" s="171" t="s">
        <v>366</v>
      </c>
      <c r="G27" s="171" t="s">
        <v>423</v>
      </c>
    </row>
    <row r="28" spans="1:8" ht="13.9" x14ac:dyDescent="0.35">
      <c r="A28" s="269"/>
      <c r="B28" s="269"/>
      <c r="C28" s="269"/>
      <c r="D28" s="171"/>
      <c r="E28" s="171"/>
      <c r="F28" s="171"/>
      <c r="G28" s="171"/>
    </row>
    <row r="29" spans="1:8" ht="13.9" x14ac:dyDescent="0.4">
      <c r="A29" s="268" t="s">
        <v>424</v>
      </c>
      <c r="B29" s="268"/>
      <c r="C29" s="268"/>
      <c r="D29" s="172">
        <f>ROUND(LOGEST(F$14:F$23,$A$14:$A$23,TRUE, TRUE)-1,3)</f>
        <v>4.5999999999999999E-2</v>
      </c>
      <c r="E29" s="172">
        <f>ROUND(LOGEST($H$14:$H$23,$A$14:$A$23,TRUE, TRUE)-1,3)</f>
        <v>-8.0000000000000002E-3</v>
      </c>
      <c r="F29" s="173">
        <f>RSQ(LN(F$14:F$23),$A$14:$A$23)</f>
        <v>0.94179480912886226</v>
      </c>
      <c r="G29" s="173">
        <f>RSQ(LN($H$14:$H$23),$A$14:$A$23)</f>
        <v>0.17569376736909248</v>
      </c>
    </row>
    <row r="30" spans="1:8" ht="13.9" x14ac:dyDescent="0.4">
      <c r="A30" s="268"/>
      <c r="B30" s="268"/>
      <c r="C30" s="268"/>
      <c r="D30" s="172"/>
      <c r="E30" s="172"/>
      <c r="F30" s="173"/>
      <c r="G30" s="173"/>
    </row>
    <row r="31" spans="1:8" ht="13.9" x14ac:dyDescent="0.4">
      <c r="A31" s="268" t="s">
        <v>425</v>
      </c>
      <c r="B31" s="268"/>
      <c r="C31" s="268"/>
      <c r="D31" s="172">
        <f>ROUND(LOGEST(F$16:F$23,$A$16:$A$23,TRUE, TRUE)-1,3)</f>
        <v>4.1000000000000002E-2</v>
      </c>
      <c r="E31" s="172">
        <f>ROUND(LOGEST($H$16:$H$23,$A$16:$A$23,TRUE, TRUE)-1,3)</f>
        <v>-4.0000000000000001E-3</v>
      </c>
      <c r="F31" s="173">
        <f>RSQ(LN(F$16:F$23),$A$16:$A$23)</f>
        <v>0.89428546861610358</v>
      </c>
      <c r="G31" s="173">
        <f>RSQ(LN($H$16:$H$23),$A$16:$A$23)</f>
        <v>2.5273866113542615E-2</v>
      </c>
    </row>
    <row r="32" spans="1:8" ht="13.9" x14ac:dyDescent="0.35">
      <c r="A32" s="269"/>
      <c r="B32" s="269"/>
      <c r="C32" s="269"/>
      <c r="D32" s="172"/>
      <c r="E32" s="172"/>
      <c r="F32" s="173"/>
      <c r="G32" s="173"/>
    </row>
    <row r="33" spans="1:7" ht="13.9" x14ac:dyDescent="0.4">
      <c r="A33" s="268" t="s">
        <v>426</v>
      </c>
      <c r="B33" s="268"/>
      <c r="C33" s="268"/>
      <c r="D33" s="172">
        <f>ROUND(LOGEST(F$18:F$23,$A$18:$A$23,TRUE, TRUE)-1,3)</f>
        <v>3.4000000000000002E-2</v>
      </c>
      <c r="E33" s="172">
        <f>ROUND(LOGEST($H$18:$H$23,$A$18:$A$23,TRUE, TRUE)-1,3)</f>
        <v>-2.5000000000000001E-2</v>
      </c>
      <c r="F33" s="173">
        <f>RSQ(LN(F$18:F$23),$A$18:$A$23)</f>
        <v>0.77263423505178885</v>
      </c>
      <c r="G33" s="173">
        <f>RSQ(LN($H$18:$H$23),$A$18:$A$23)</f>
        <v>0.58645750897780913</v>
      </c>
    </row>
    <row r="34" spans="1:7" ht="13.9" x14ac:dyDescent="0.4">
      <c r="A34" s="268"/>
      <c r="B34" s="268"/>
      <c r="C34" s="268"/>
      <c r="D34" s="172"/>
      <c r="E34" s="172"/>
      <c r="F34" s="173"/>
      <c r="G34" s="173"/>
    </row>
    <row r="35" spans="1:7" x14ac:dyDescent="0.35">
      <c r="A35" s="269"/>
      <c r="B35" s="269"/>
      <c r="C35" s="269"/>
    </row>
    <row r="36" spans="1:7" ht="13.9" x14ac:dyDescent="0.4">
      <c r="A36" s="267" t="s">
        <v>427</v>
      </c>
      <c r="B36" s="267"/>
      <c r="C36" s="267"/>
      <c r="F36" s="170" t="s">
        <v>422</v>
      </c>
      <c r="G36" s="170"/>
    </row>
    <row r="37" spans="1:7" ht="13.9" x14ac:dyDescent="0.35">
      <c r="A37" s="269"/>
      <c r="B37" s="269"/>
      <c r="C37" s="269"/>
      <c r="D37" s="171" t="s">
        <v>366</v>
      </c>
      <c r="E37" s="171" t="s">
        <v>372</v>
      </c>
      <c r="F37" s="171" t="s">
        <v>366</v>
      </c>
      <c r="G37" s="171" t="s">
        <v>423</v>
      </c>
    </row>
    <row r="38" spans="1:7" ht="13.9" x14ac:dyDescent="0.35">
      <c r="A38" s="269"/>
      <c r="B38" s="269"/>
      <c r="C38" s="269"/>
      <c r="D38" s="171"/>
      <c r="E38" s="171"/>
      <c r="F38" s="171"/>
      <c r="G38" s="171"/>
    </row>
    <row r="39" spans="1:7" ht="13.9" x14ac:dyDescent="0.4">
      <c r="A39" s="268" t="s">
        <v>424</v>
      </c>
      <c r="B39" s="268"/>
      <c r="C39" s="268"/>
      <c r="D39" s="172">
        <f>ROUND(LOGEST(G$14:G$23,$A$14:$A$23,TRUE, TRUE)-1,3)</f>
        <v>4.2000000000000003E-2</v>
      </c>
      <c r="E39" s="172">
        <f>ROUND(LOGEST($H$14:$H$23,$A$14:$A$23,TRUE, TRUE)-1,3)</f>
        <v>-8.0000000000000002E-3</v>
      </c>
      <c r="F39" s="173">
        <f>RSQ(LN(G$14:G$23),$A$14:$A$23)</f>
        <v>0.96125953974412204</v>
      </c>
      <c r="G39" s="173">
        <f>RSQ(LN($H$14:$H$23),$A$14:$A$23)</f>
        <v>0.17569376736909248</v>
      </c>
    </row>
    <row r="40" spans="1:7" ht="13.9" x14ac:dyDescent="0.4">
      <c r="A40" s="268"/>
      <c r="B40" s="268"/>
      <c r="C40" s="268"/>
      <c r="D40" s="172"/>
      <c r="E40" s="172"/>
      <c r="F40" s="173"/>
      <c r="G40" s="173"/>
    </row>
    <row r="41" spans="1:7" ht="13.9" x14ac:dyDescent="0.4">
      <c r="A41" s="268" t="s">
        <v>425</v>
      </c>
      <c r="B41" s="268"/>
      <c r="C41" s="268"/>
      <c r="D41" s="172">
        <f>ROUND(LOGEST(G$16:G$23,$A$16:$A$23,TRUE, TRUE)-1,3)</f>
        <v>3.5999999999999997E-2</v>
      </c>
      <c r="E41" s="172">
        <f>ROUND(LOGEST($H$16:$H$23,$A$16:$A$23,TRUE, TRUE)-1,3)</f>
        <v>-4.0000000000000001E-3</v>
      </c>
      <c r="F41" s="173">
        <f>RSQ(LN(G$16:G$23),$A$16:$A$23)</f>
        <v>0.95064741431110544</v>
      </c>
      <c r="G41" s="173">
        <f>RSQ(LN($H$16:$H$23),$A$16:$A$23)</f>
        <v>2.5273866113542615E-2</v>
      </c>
    </row>
    <row r="42" spans="1:7" ht="13.9" x14ac:dyDescent="0.35">
      <c r="A42" s="269"/>
      <c r="B42" s="269"/>
      <c r="C42" s="269"/>
      <c r="D42" s="172"/>
      <c r="E42" s="172"/>
      <c r="F42" s="173"/>
      <c r="G42" s="173"/>
    </row>
    <row r="43" spans="1:7" ht="13.9" x14ac:dyDescent="0.4">
      <c r="A43" s="268" t="s">
        <v>426</v>
      </c>
      <c r="B43" s="268"/>
      <c r="C43" s="268"/>
      <c r="D43" s="172">
        <f>ROUND(LOGEST(G$18:G$23,$A$18:$A$23,TRUE, TRUE)-1,3)</f>
        <v>3.1E-2</v>
      </c>
      <c r="E43" s="172">
        <f>ROUND(LOGEST($H$18:$H$23,$A$18:$A$23,TRUE, TRUE)-1,3)</f>
        <v>-2.5000000000000001E-2</v>
      </c>
      <c r="F43" s="173">
        <f>RSQ(LN(G$18:G$23),$A$18:$A$23)</f>
        <v>0.92857543306767476</v>
      </c>
      <c r="G43" s="173">
        <f>RSQ(LN($H$18:$H$23),$A$18:$A$23)</f>
        <v>0.58645750897780913</v>
      </c>
    </row>
    <row r="44" spans="1:7" x14ac:dyDescent="0.35">
      <c r="A44" s="269"/>
      <c r="B44" s="269"/>
      <c r="C44" s="269"/>
    </row>
    <row r="45" spans="1:7" ht="13.9" x14ac:dyDescent="0.4">
      <c r="A45" s="268" t="s">
        <v>428</v>
      </c>
      <c r="B45" s="268"/>
      <c r="C45" s="268"/>
      <c r="D45" s="172">
        <f>DZ_INPUTS!B40</f>
        <v>0.04</v>
      </c>
      <c r="E45" s="172">
        <f>DZ_INPUTS!C40</f>
        <v>-1.4999999999999999E-2</v>
      </c>
    </row>
    <row r="47" spans="1:7" ht="13.9" x14ac:dyDescent="0.4">
      <c r="A47" s="174" t="s">
        <v>429</v>
      </c>
    </row>
    <row r="48" spans="1:7" x14ac:dyDescent="0.35">
      <c r="B48" s="84" t="s">
        <v>430</v>
      </c>
    </row>
  </sheetData>
  <mergeCells count="29">
    <mergeCell ref="A41:C41"/>
    <mergeCell ref="A42:C42"/>
    <mergeCell ref="A43:C43"/>
    <mergeCell ref="A44:C44"/>
    <mergeCell ref="A45:C45"/>
    <mergeCell ref="A40:C40"/>
    <mergeCell ref="A29:C29"/>
    <mergeCell ref="A30:C30"/>
    <mergeCell ref="A31:C31"/>
    <mergeCell ref="A32:C32"/>
    <mergeCell ref="A33:C33"/>
    <mergeCell ref="A34:C34"/>
    <mergeCell ref="A35:C35"/>
    <mergeCell ref="A36:C36"/>
    <mergeCell ref="A37:C37"/>
    <mergeCell ref="A38:C38"/>
    <mergeCell ref="A39:C39"/>
    <mergeCell ref="A28:C28"/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26:C26"/>
    <mergeCell ref="A27:C27"/>
  </mergeCells>
  <printOptions horizontalCentered="1"/>
  <pageMargins left="0.25" right="0.25" top="0.75" bottom="0.75" header="0.3" footer="0.3"/>
  <pageSetup scale="99" firstPageNumber="0" orientation="portrait" useFirstPageNumber="1" r:id="rId1"/>
  <headerFooter>
    <oddHeader>&amp;L&amp;"Times New Roman"&amp;9INSURANCE SERVICES OFFICE, INC.</oddHeader>
    <oddFooter>&amp;C&amp;"Times New Roman"&amp;9© Insurance Services Office, Inc., 2022        		OREGON        BP-2021-RLA1&amp;R&amp;"Times New Roman"&amp;9&amp;A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C03D5-CC96-4ED4-AC4B-550A93E69D76}">
  <sheetPr>
    <pageSetUpPr fitToPage="1"/>
  </sheetPr>
  <dimension ref="A1:R55"/>
  <sheetViews>
    <sheetView zoomScale="90" zoomScaleNormal="90" workbookViewId="0"/>
  </sheetViews>
  <sheetFormatPr defaultRowHeight="13.15" x14ac:dyDescent="0.4"/>
  <cols>
    <col min="1" max="1" width="9.265625" style="42" customWidth="1"/>
    <col min="2" max="2" width="10.3984375" style="2" bestFit="1" customWidth="1"/>
    <col min="3" max="3" width="4" style="2" customWidth="1"/>
    <col min="4" max="4" width="13" style="2" bestFit="1" customWidth="1"/>
    <col min="5" max="5" width="14.1328125" style="2" bestFit="1" customWidth="1"/>
    <col min="6" max="6" width="13" style="2" bestFit="1" customWidth="1"/>
    <col min="7" max="7" width="10.86328125" style="2" customWidth="1"/>
    <col min="8" max="8" width="10.3984375" style="2" customWidth="1"/>
    <col min="9" max="9" width="11" style="2" customWidth="1"/>
    <col min="10" max="13" width="9.06640625" style="2"/>
    <col min="14" max="14" width="10" style="2" customWidth="1"/>
    <col min="15" max="256" width="9.06640625" style="2"/>
    <col min="257" max="257" width="9.265625" style="2" bestFit="1" customWidth="1"/>
    <col min="258" max="258" width="10.3984375" style="2" bestFit="1" customWidth="1"/>
    <col min="259" max="259" width="4" style="2" customWidth="1"/>
    <col min="260" max="260" width="13" style="2" bestFit="1" customWidth="1"/>
    <col min="261" max="261" width="14.1328125" style="2" bestFit="1" customWidth="1"/>
    <col min="262" max="262" width="13" style="2" bestFit="1" customWidth="1"/>
    <col min="263" max="263" width="10.86328125" style="2" customWidth="1"/>
    <col min="264" max="264" width="10.3984375" style="2" customWidth="1"/>
    <col min="265" max="265" width="11" style="2" customWidth="1"/>
    <col min="266" max="269" width="9.06640625" style="2"/>
    <col min="270" max="270" width="10" style="2" customWidth="1"/>
    <col min="271" max="512" width="9.06640625" style="2"/>
    <col min="513" max="513" width="9.265625" style="2" bestFit="1" customWidth="1"/>
    <col min="514" max="514" width="10.3984375" style="2" bestFit="1" customWidth="1"/>
    <col min="515" max="515" width="4" style="2" customWidth="1"/>
    <col min="516" max="516" width="13" style="2" bestFit="1" customWidth="1"/>
    <col min="517" max="517" width="14.1328125" style="2" bestFit="1" customWidth="1"/>
    <col min="518" max="518" width="13" style="2" bestFit="1" customWidth="1"/>
    <col min="519" max="519" width="10.86328125" style="2" customWidth="1"/>
    <col min="520" max="520" width="10.3984375" style="2" customWidth="1"/>
    <col min="521" max="521" width="11" style="2" customWidth="1"/>
    <col min="522" max="525" width="9.06640625" style="2"/>
    <col min="526" max="526" width="10" style="2" customWidth="1"/>
    <col min="527" max="768" width="9.06640625" style="2"/>
    <col min="769" max="769" width="9.265625" style="2" bestFit="1" customWidth="1"/>
    <col min="770" max="770" width="10.3984375" style="2" bestFit="1" customWidth="1"/>
    <col min="771" max="771" width="4" style="2" customWidth="1"/>
    <col min="772" max="772" width="13" style="2" bestFit="1" customWidth="1"/>
    <col min="773" max="773" width="14.1328125" style="2" bestFit="1" customWidth="1"/>
    <col min="774" max="774" width="13" style="2" bestFit="1" customWidth="1"/>
    <col min="775" max="775" width="10.86328125" style="2" customWidth="1"/>
    <col min="776" max="776" width="10.3984375" style="2" customWidth="1"/>
    <col min="777" max="777" width="11" style="2" customWidth="1"/>
    <col min="778" max="781" width="9.06640625" style="2"/>
    <col min="782" max="782" width="10" style="2" customWidth="1"/>
    <col min="783" max="1024" width="9.06640625" style="2"/>
    <col min="1025" max="1025" width="9.265625" style="2" bestFit="1" customWidth="1"/>
    <col min="1026" max="1026" width="10.3984375" style="2" bestFit="1" customWidth="1"/>
    <col min="1027" max="1027" width="4" style="2" customWidth="1"/>
    <col min="1028" max="1028" width="13" style="2" bestFit="1" customWidth="1"/>
    <col min="1029" max="1029" width="14.1328125" style="2" bestFit="1" customWidth="1"/>
    <col min="1030" max="1030" width="13" style="2" bestFit="1" customWidth="1"/>
    <col min="1031" max="1031" width="10.86328125" style="2" customWidth="1"/>
    <col min="1032" max="1032" width="10.3984375" style="2" customWidth="1"/>
    <col min="1033" max="1033" width="11" style="2" customWidth="1"/>
    <col min="1034" max="1037" width="9.06640625" style="2"/>
    <col min="1038" max="1038" width="10" style="2" customWidth="1"/>
    <col min="1039" max="1280" width="9.06640625" style="2"/>
    <col min="1281" max="1281" width="9.265625" style="2" bestFit="1" customWidth="1"/>
    <col min="1282" max="1282" width="10.3984375" style="2" bestFit="1" customWidth="1"/>
    <col min="1283" max="1283" width="4" style="2" customWidth="1"/>
    <col min="1284" max="1284" width="13" style="2" bestFit="1" customWidth="1"/>
    <col min="1285" max="1285" width="14.1328125" style="2" bestFit="1" customWidth="1"/>
    <col min="1286" max="1286" width="13" style="2" bestFit="1" customWidth="1"/>
    <col min="1287" max="1287" width="10.86328125" style="2" customWidth="1"/>
    <col min="1288" max="1288" width="10.3984375" style="2" customWidth="1"/>
    <col min="1289" max="1289" width="11" style="2" customWidth="1"/>
    <col min="1290" max="1293" width="9.06640625" style="2"/>
    <col min="1294" max="1294" width="10" style="2" customWidth="1"/>
    <col min="1295" max="1536" width="9.06640625" style="2"/>
    <col min="1537" max="1537" width="9.265625" style="2" bestFit="1" customWidth="1"/>
    <col min="1538" max="1538" width="10.3984375" style="2" bestFit="1" customWidth="1"/>
    <col min="1539" max="1539" width="4" style="2" customWidth="1"/>
    <col min="1540" max="1540" width="13" style="2" bestFit="1" customWidth="1"/>
    <col min="1541" max="1541" width="14.1328125" style="2" bestFit="1" customWidth="1"/>
    <col min="1542" max="1542" width="13" style="2" bestFit="1" customWidth="1"/>
    <col min="1543" max="1543" width="10.86328125" style="2" customWidth="1"/>
    <col min="1544" max="1544" width="10.3984375" style="2" customWidth="1"/>
    <col min="1545" max="1545" width="11" style="2" customWidth="1"/>
    <col min="1546" max="1549" width="9.06640625" style="2"/>
    <col min="1550" max="1550" width="10" style="2" customWidth="1"/>
    <col min="1551" max="1792" width="9.06640625" style="2"/>
    <col min="1793" max="1793" width="9.265625" style="2" bestFit="1" customWidth="1"/>
    <col min="1794" max="1794" width="10.3984375" style="2" bestFit="1" customWidth="1"/>
    <col min="1795" max="1795" width="4" style="2" customWidth="1"/>
    <col min="1796" max="1796" width="13" style="2" bestFit="1" customWidth="1"/>
    <col min="1797" max="1797" width="14.1328125" style="2" bestFit="1" customWidth="1"/>
    <col min="1798" max="1798" width="13" style="2" bestFit="1" customWidth="1"/>
    <col min="1799" max="1799" width="10.86328125" style="2" customWidth="1"/>
    <col min="1800" max="1800" width="10.3984375" style="2" customWidth="1"/>
    <col min="1801" max="1801" width="11" style="2" customWidth="1"/>
    <col min="1802" max="1805" width="9.06640625" style="2"/>
    <col min="1806" max="1806" width="10" style="2" customWidth="1"/>
    <col min="1807" max="2048" width="9.06640625" style="2"/>
    <col min="2049" max="2049" width="9.265625" style="2" bestFit="1" customWidth="1"/>
    <col min="2050" max="2050" width="10.3984375" style="2" bestFit="1" customWidth="1"/>
    <col min="2051" max="2051" width="4" style="2" customWidth="1"/>
    <col min="2052" max="2052" width="13" style="2" bestFit="1" customWidth="1"/>
    <col min="2053" max="2053" width="14.1328125" style="2" bestFit="1" customWidth="1"/>
    <col min="2054" max="2054" width="13" style="2" bestFit="1" customWidth="1"/>
    <col min="2055" max="2055" width="10.86328125" style="2" customWidth="1"/>
    <col min="2056" max="2056" width="10.3984375" style="2" customWidth="1"/>
    <col min="2057" max="2057" width="11" style="2" customWidth="1"/>
    <col min="2058" max="2061" width="9.06640625" style="2"/>
    <col min="2062" max="2062" width="10" style="2" customWidth="1"/>
    <col min="2063" max="2304" width="9.06640625" style="2"/>
    <col min="2305" max="2305" width="9.265625" style="2" bestFit="1" customWidth="1"/>
    <col min="2306" max="2306" width="10.3984375" style="2" bestFit="1" customWidth="1"/>
    <col min="2307" max="2307" width="4" style="2" customWidth="1"/>
    <col min="2308" max="2308" width="13" style="2" bestFit="1" customWidth="1"/>
    <col min="2309" max="2309" width="14.1328125" style="2" bestFit="1" customWidth="1"/>
    <col min="2310" max="2310" width="13" style="2" bestFit="1" customWidth="1"/>
    <col min="2311" max="2311" width="10.86328125" style="2" customWidth="1"/>
    <col min="2312" max="2312" width="10.3984375" style="2" customWidth="1"/>
    <col min="2313" max="2313" width="11" style="2" customWidth="1"/>
    <col min="2314" max="2317" width="9.06640625" style="2"/>
    <col min="2318" max="2318" width="10" style="2" customWidth="1"/>
    <col min="2319" max="2560" width="9.06640625" style="2"/>
    <col min="2561" max="2561" width="9.265625" style="2" bestFit="1" customWidth="1"/>
    <col min="2562" max="2562" width="10.3984375" style="2" bestFit="1" customWidth="1"/>
    <col min="2563" max="2563" width="4" style="2" customWidth="1"/>
    <col min="2564" max="2564" width="13" style="2" bestFit="1" customWidth="1"/>
    <col min="2565" max="2565" width="14.1328125" style="2" bestFit="1" customWidth="1"/>
    <col min="2566" max="2566" width="13" style="2" bestFit="1" customWidth="1"/>
    <col min="2567" max="2567" width="10.86328125" style="2" customWidth="1"/>
    <col min="2568" max="2568" width="10.3984375" style="2" customWidth="1"/>
    <col min="2569" max="2569" width="11" style="2" customWidth="1"/>
    <col min="2570" max="2573" width="9.06640625" style="2"/>
    <col min="2574" max="2574" width="10" style="2" customWidth="1"/>
    <col min="2575" max="2816" width="9.06640625" style="2"/>
    <col min="2817" max="2817" width="9.265625" style="2" bestFit="1" customWidth="1"/>
    <col min="2818" max="2818" width="10.3984375" style="2" bestFit="1" customWidth="1"/>
    <col min="2819" max="2819" width="4" style="2" customWidth="1"/>
    <col min="2820" max="2820" width="13" style="2" bestFit="1" customWidth="1"/>
    <col min="2821" max="2821" width="14.1328125" style="2" bestFit="1" customWidth="1"/>
    <col min="2822" max="2822" width="13" style="2" bestFit="1" customWidth="1"/>
    <col min="2823" max="2823" width="10.86328125" style="2" customWidth="1"/>
    <col min="2824" max="2824" width="10.3984375" style="2" customWidth="1"/>
    <col min="2825" max="2825" width="11" style="2" customWidth="1"/>
    <col min="2826" max="2829" width="9.06640625" style="2"/>
    <col min="2830" max="2830" width="10" style="2" customWidth="1"/>
    <col min="2831" max="3072" width="9.06640625" style="2"/>
    <col min="3073" max="3073" width="9.265625" style="2" bestFit="1" customWidth="1"/>
    <col min="3074" max="3074" width="10.3984375" style="2" bestFit="1" customWidth="1"/>
    <col min="3075" max="3075" width="4" style="2" customWidth="1"/>
    <col min="3076" max="3076" width="13" style="2" bestFit="1" customWidth="1"/>
    <col min="3077" max="3077" width="14.1328125" style="2" bestFit="1" customWidth="1"/>
    <col min="3078" max="3078" width="13" style="2" bestFit="1" customWidth="1"/>
    <col min="3079" max="3079" width="10.86328125" style="2" customWidth="1"/>
    <col min="3080" max="3080" width="10.3984375" style="2" customWidth="1"/>
    <col min="3081" max="3081" width="11" style="2" customWidth="1"/>
    <col min="3082" max="3085" width="9.06640625" style="2"/>
    <col min="3086" max="3086" width="10" style="2" customWidth="1"/>
    <col min="3087" max="3328" width="9.06640625" style="2"/>
    <col min="3329" max="3329" width="9.265625" style="2" bestFit="1" customWidth="1"/>
    <col min="3330" max="3330" width="10.3984375" style="2" bestFit="1" customWidth="1"/>
    <col min="3331" max="3331" width="4" style="2" customWidth="1"/>
    <col min="3332" max="3332" width="13" style="2" bestFit="1" customWidth="1"/>
    <col min="3333" max="3333" width="14.1328125" style="2" bestFit="1" customWidth="1"/>
    <col min="3334" max="3334" width="13" style="2" bestFit="1" customWidth="1"/>
    <col min="3335" max="3335" width="10.86328125" style="2" customWidth="1"/>
    <col min="3336" max="3336" width="10.3984375" style="2" customWidth="1"/>
    <col min="3337" max="3337" width="11" style="2" customWidth="1"/>
    <col min="3338" max="3341" width="9.06640625" style="2"/>
    <col min="3342" max="3342" width="10" style="2" customWidth="1"/>
    <col min="3343" max="3584" width="9.06640625" style="2"/>
    <col min="3585" max="3585" width="9.265625" style="2" bestFit="1" customWidth="1"/>
    <col min="3586" max="3586" width="10.3984375" style="2" bestFit="1" customWidth="1"/>
    <col min="3587" max="3587" width="4" style="2" customWidth="1"/>
    <col min="3588" max="3588" width="13" style="2" bestFit="1" customWidth="1"/>
    <col min="3589" max="3589" width="14.1328125" style="2" bestFit="1" customWidth="1"/>
    <col min="3590" max="3590" width="13" style="2" bestFit="1" customWidth="1"/>
    <col min="3591" max="3591" width="10.86328125" style="2" customWidth="1"/>
    <col min="3592" max="3592" width="10.3984375" style="2" customWidth="1"/>
    <col min="3593" max="3593" width="11" style="2" customWidth="1"/>
    <col min="3594" max="3597" width="9.06640625" style="2"/>
    <col min="3598" max="3598" width="10" style="2" customWidth="1"/>
    <col min="3599" max="3840" width="9.06640625" style="2"/>
    <col min="3841" max="3841" width="9.265625" style="2" bestFit="1" customWidth="1"/>
    <col min="3842" max="3842" width="10.3984375" style="2" bestFit="1" customWidth="1"/>
    <col min="3843" max="3843" width="4" style="2" customWidth="1"/>
    <col min="3844" max="3844" width="13" style="2" bestFit="1" customWidth="1"/>
    <col min="3845" max="3845" width="14.1328125" style="2" bestFit="1" customWidth="1"/>
    <col min="3846" max="3846" width="13" style="2" bestFit="1" customWidth="1"/>
    <col min="3847" max="3847" width="10.86328125" style="2" customWidth="1"/>
    <col min="3848" max="3848" width="10.3984375" style="2" customWidth="1"/>
    <col min="3849" max="3849" width="11" style="2" customWidth="1"/>
    <col min="3850" max="3853" width="9.06640625" style="2"/>
    <col min="3854" max="3854" width="10" style="2" customWidth="1"/>
    <col min="3855" max="4096" width="9.06640625" style="2"/>
    <col min="4097" max="4097" width="9.265625" style="2" bestFit="1" customWidth="1"/>
    <col min="4098" max="4098" width="10.3984375" style="2" bestFit="1" customWidth="1"/>
    <col min="4099" max="4099" width="4" style="2" customWidth="1"/>
    <col min="4100" max="4100" width="13" style="2" bestFit="1" customWidth="1"/>
    <col min="4101" max="4101" width="14.1328125" style="2" bestFit="1" customWidth="1"/>
    <col min="4102" max="4102" width="13" style="2" bestFit="1" customWidth="1"/>
    <col min="4103" max="4103" width="10.86328125" style="2" customWidth="1"/>
    <col min="4104" max="4104" width="10.3984375" style="2" customWidth="1"/>
    <col min="4105" max="4105" width="11" style="2" customWidth="1"/>
    <col min="4106" max="4109" width="9.06640625" style="2"/>
    <col min="4110" max="4110" width="10" style="2" customWidth="1"/>
    <col min="4111" max="4352" width="9.06640625" style="2"/>
    <col min="4353" max="4353" width="9.265625" style="2" bestFit="1" customWidth="1"/>
    <col min="4354" max="4354" width="10.3984375" style="2" bestFit="1" customWidth="1"/>
    <col min="4355" max="4355" width="4" style="2" customWidth="1"/>
    <col min="4356" max="4356" width="13" style="2" bestFit="1" customWidth="1"/>
    <col min="4357" max="4357" width="14.1328125" style="2" bestFit="1" customWidth="1"/>
    <col min="4358" max="4358" width="13" style="2" bestFit="1" customWidth="1"/>
    <col min="4359" max="4359" width="10.86328125" style="2" customWidth="1"/>
    <col min="4360" max="4360" width="10.3984375" style="2" customWidth="1"/>
    <col min="4361" max="4361" width="11" style="2" customWidth="1"/>
    <col min="4362" max="4365" width="9.06640625" style="2"/>
    <col min="4366" max="4366" width="10" style="2" customWidth="1"/>
    <col min="4367" max="4608" width="9.06640625" style="2"/>
    <col min="4609" max="4609" width="9.265625" style="2" bestFit="1" customWidth="1"/>
    <col min="4610" max="4610" width="10.3984375" style="2" bestFit="1" customWidth="1"/>
    <col min="4611" max="4611" width="4" style="2" customWidth="1"/>
    <col min="4612" max="4612" width="13" style="2" bestFit="1" customWidth="1"/>
    <col min="4613" max="4613" width="14.1328125" style="2" bestFit="1" customWidth="1"/>
    <col min="4614" max="4614" width="13" style="2" bestFit="1" customWidth="1"/>
    <col min="4615" max="4615" width="10.86328125" style="2" customWidth="1"/>
    <col min="4616" max="4616" width="10.3984375" style="2" customWidth="1"/>
    <col min="4617" max="4617" width="11" style="2" customWidth="1"/>
    <col min="4618" max="4621" width="9.06640625" style="2"/>
    <col min="4622" max="4622" width="10" style="2" customWidth="1"/>
    <col min="4623" max="4864" width="9.06640625" style="2"/>
    <col min="4865" max="4865" width="9.265625" style="2" bestFit="1" customWidth="1"/>
    <col min="4866" max="4866" width="10.3984375" style="2" bestFit="1" customWidth="1"/>
    <col min="4867" max="4867" width="4" style="2" customWidth="1"/>
    <col min="4868" max="4868" width="13" style="2" bestFit="1" customWidth="1"/>
    <col min="4869" max="4869" width="14.1328125" style="2" bestFit="1" customWidth="1"/>
    <col min="4870" max="4870" width="13" style="2" bestFit="1" customWidth="1"/>
    <col min="4871" max="4871" width="10.86328125" style="2" customWidth="1"/>
    <col min="4872" max="4872" width="10.3984375" style="2" customWidth="1"/>
    <col min="4873" max="4873" width="11" style="2" customWidth="1"/>
    <col min="4874" max="4877" width="9.06640625" style="2"/>
    <col min="4878" max="4878" width="10" style="2" customWidth="1"/>
    <col min="4879" max="5120" width="9.06640625" style="2"/>
    <col min="5121" max="5121" width="9.265625" style="2" bestFit="1" customWidth="1"/>
    <col min="5122" max="5122" width="10.3984375" style="2" bestFit="1" customWidth="1"/>
    <col min="5123" max="5123" width="4" style="2" customWidth="1"/>
    <col min="5124" max="5124" width="13" style="2" bestFit="1" customWidth="1"/>
    <col min="5125" max="5125" width="14.1328125" style="2" bestFit="1" customWidth="1"/>
    <col min="5126" max="5126" width="13" style="2" bestFit="1" customWidth="1"/>
    <col min="5127" max="5127" width="10.86328125" style="2" customWidth="1"/>
    <col min="5128" max="5128" width="10.3984375" style="2" customWidth="1"/>
    <col min="5129" max="5129" width="11" style="2" customWidth="1"/>
    <col min="5130" max="5133" width="9.06640625" style="2"/>
    <col min="5134" max="5134" width="10" style="2" customWidth="1"/>
    <col min="5135" max="5376" width="9.06640625" style="2"/>
    <col min="5377" max="5377" width="9.265625" style="2" bestFit="1" customWidth="1"/>
    <col min="5378" max="5378" width="10.3984375" style="2" bestFit="1" customWidth="1"/>
    <col min="5379" max="5379" width="4" style="2" customWidth="1"/>
    <col min="5380" max="5380" width="13" style="2" bestFit="1" customWidth="1"/>
    <col min="5381" max="5381" width="14.1328125" style="2" bestFit="1" customWidth="1"/>
    <col min="5382" max="5382" width="13" style="2" bestFit="1" customWidth="1"/>
    <col min="5383" max="5383" width="10.86328125" style="2" customWidth="1"/>
    <col min="5384" max="5384" width="10.3984375" style="2" customWidth="1"/>
    <col min="5385" max="5385" width="11" style="2" customWidth="1"/>
    <col min="5386" max="5389" width="9.06640625" style="2"/>
    <col min="5390" max="5390" width="10" style="2" customWidth="1"/>
    <col min="5391" max="5632" width="9.06640625" style="2"/>
    <col min="5633" max="5633" width="9.265625" style="2" bestFit="1" customWidth="1"/>
    <col min="5634" max="5634" width="10.3984375" style="2" bestFit="1" customWidth="1"/>
    <col min="5635" max="5635" width="4" style="2" customWidth="1"/>
    <col min="5636" max="5636" width="13" style="2" bestFit="1" customWidth="1"/>
    <col min="5637" max="5637" width="14.1328125" style="2" bestFit="1" customWidth="1"/>
    <col min="5638" max="5638" width="13" style="2" bestFit="1" customWidth="1"/>
    <col min="5639" max="5639" width="10.86328125" style="2" customWidth="1"/>
    <col min="5640" max="5640" width="10.3984375" style="2" customWidth="1"/>
    <col min="5641" max="5641" width="11" style="2" customWidth="1"/>
    <col min="5642" max="5645" width="9.06640625" style="2"/>
    <col min="5646" max="5646" width="10" style="2" customWidth="1"/>
    <col min="5647" max="5888" width="9.06640625" style="2"/>
    <col min="5889" max="5889" width="9.265625" style="2" bestFit="1" customWidth="1"/>
    <col min="5890" max="5890" width="10.3984375" style="2" bestFit="1" customWidth="1"/>
    <col min="5891" max="5891" width="4" style="2" customWidth="1"/>
    <col min="5892" max="5892" width="13" style="2" bestFit="1" customWidth="1"/>
    <col min="5893" max="5893" width="14.1328125" style="2" bestFit="1" customWidth="1"/>
    <col min="5894" max="5894" width="13" style="2" bestFit="1" customWidth="1"/>
    <col min="5895" max="5895" width="10.86328125" style="2" customWidth="1"/>
    <col min="5896" max="5896" width="10.3984375" style="2" customWidth="1"/>
    <col min="5897" max="5897" width="11" style="2" customWidth="1"/>
    <col min="5898" max="5901" width="9.06640625" style="2"/>
    <col min="5902" max="5902" width="10" style="2" customWidth="1"/>
    <col min="5903" max="6144" width="9.06640625" style="2"/>
    <col min="6145" max="6145" width="9.265625" style="2" bestFit="1" customWidth="1"/>
    <col min="6146" max="6146" width="10.3984375" style="2" bestFit="1" customWidth="1"/>
    <col min="6147" max="6147" width="4" style="2" customWidth="1"/>
    <col min="6148" max="6148" width="13" style="2" bestFit="1" customWidth="1"/>
    <col min="6149" max="6149" width="14.1328125" style="2" bestFit="1" customWidth="1"/>
    <col min="6150" max="6150" width="13" style="2" bestFit="1" customWidth="1"/>
    <col min="6151" max="6151" width="10.86328125" style="2" customWidth="1"/>
    <col min="6152" max="6152" width="10.3984375" style="2" customWidth="1"/>
    <col min="6153" max="6153" width="11" style="2" customWidth="1"/>
    <col min="6154" max="6157" width="9.06640625" style="2"/>
    <col min="6158" max="6158" width="10" style="2" customWidth="1"/>
    <col min="6159" max="6400" width="9.06640625" style="2"/>
    <col min="6401" max="6401" width="9.265625" style="2" bestFit="1" customWidth="1"/>
    <col min="6402" max="6402" width="10.3984375" style="2" bestFit="1" customWidth="1"/>
    <col min="6403" max="6403" width="4" style="2" customWidth="1"/>
    <col min="6404" max="6404" width="13" style="2" bestFit="1" customWidth="1"/>
    <col min="6405" max="6405" width="14.1328125" style="2" bestFit="1" customWidth="1"/>
    <col min="6406" max="6406" width="13" style="2" bestFit="1" customWidth="1"/>
    <col min="6407" max="6407" width="10.86328125" style="2" customWidth="1"/>
    <col min="6408" max="6408" width="10.3984375" style="2" customWidth="1"/>
    <col min="6409" max="6409" width="11" style="2" customWidth="1"/>
    <col min="6410" max="6413" width="9.06640625" style="2"/>
    <col min="6414" max="6414" width="10" style="2" customWidth="1"/>
    <col min="6415" max="6656" width="9.06640625" style="2"/>
    <col min="6657" max="6657" width="9.265625" style="2" bestFit="1" customWidth="1"/>
    <col min="6658" max="6658" width="10.3984375" style="2" bestFit="1" customWidth="1"/>
    <col min="6659" max="6659" width="4" style="2" customWidth="1"/>
    <col min="6660" max="6660" width="13" style="2" bestFit="1" customWidth="1"/>
    <col min="6661" max="6661" width="14.1328125" style="2" bestFit="1" customWidth="1"/>
    <col min="6662" max="6662" width="13" style="2" bestFit="1" customWidth="1"/>
    <col min="6663" max="6663" width="10.86328125" style="2" customWidth="1"/>
    <col min="6664" max="6664" width="10.3984375" style="2" customWidth="1"/>
    <col min="6665" max="6665" width="11" style="2" customWidth="1"/>
    <col min="6666" max="6669" width="9.06640625" style="2"/>
    <col min="6670" max="6670" width="10" style="2" customWidth="1"/>
    <col min="6671" max="6912" width="9.06640625" style="2"/>
    <col min="6913" max="6913" width="9.265625" style="2" bestFit="1" customWidth="1"/>
    <col min="6914" max="6914" width="10.3984375" style="2" bestFit="1" customWidth="1"/>
    <col min="6915" max="6915" width="4" style="2" customWidth="1"/>
    <col min="6916" max="6916" width="13" style="2" bestFit="1" customWidth="1"/>
    <col min="6917" max="6917" width="14.1328125" style="2" bestFit="1" customWidth="1"/>
    <col min="6918" max="6918" width="13" style="2" bestFit="1" customWidth="1"/>
    <col min="6919" max="6919" width="10.86328125" style="2" customWidth="1"/>
    <col min="6920" max="6920" width="10.3984375" style="2" customWidth="1"/>
    <col min="6921" max="6921" width="11" style="2" customWidth="1"/>
    <col min="6922" max="6925" width="9.06640625" style="2"/>
    <col min="6926" max="6926" width="10" style="2" customWidth="1"/>
    <col min="6927" max="7168" width="9.06640625" style="2"/>
    <col min="7169" max="7169" width="9.265625" style="2" bestFit="1" customWidth="1"/>
    <col min="7170" max="7170" width="10.3984375" style="2" bestFit="1" customWidth="1"/>
    <col min="7171" max="7171" width="4" style="2" customWidth="1"/>
    <col min="7172" max="7172" width="13" style="2" bestFit="1" customWidth="1"/>
    <col min="7173" max="7173" width="14.1328125" style="2" bestFit="1" customWidth="1"/>
    <col min="7174" max="7174" width="13" style="2" bestFit="1" customWidth="1"/>
    <col min="7175" max="7175" width="10.86328125" style="2" customWidth="1"/>
    <col min="7176" max="7176" width="10.3984375" style="2" customWidth="1"/>
    <col min="7177" max="7177" width="11" style="2" customWidth="1"/>
    <col min="7178" max="7181" width="9.06640625" style="2"/>
    <col min="7182" max="7182" width="10" style="2" customWidth="1"/>
    <col min="7183" max="7424" width="9.06640625" style="2"/>
    <col min="7425" max="7425" width="9.265625" style="2" bestFit="1" customWidth="1"/>
    <col min="7426" max="7426" width="10.3984375" style="2" bestFit="1" customWidth="1"/>
    <col min="7427" max="7427" width="4" style="2" customWidth="1"/>
    <col min="7428" max="7428" width="13" style="2" bestFit="1" customWidth="1"/>
    <col min="7429" max="7429" width="14.1328125" style="2" bestFit="1" customWidth="1"/>
    <col min="7430" max="7430" width="13" style="2" bestFit="1" customWidth="1"/>
    <col min="7431" max="7431" width="10.86328125" style="2" customWidth="1"/>
    <col min="7432" max="7432" width="10.3984375" style="2" customWidth="1"/>
    <col min="7433" max="7433" width="11" style="2" customWidth="1"/>
    <col min="7434" max="7437" width="9.06640625" style="2"/>
    <col min="7438" max="7438" width="10" style="2" customWidth="1"/>
    <col min="7439" max="7680" width="9.06640625" style="2"/>
    <col min="7681" max="7681" width="9.265625" style="2" bestFit="1" customWidth="1"/>
    <col min="7682" max="7682" width="10.3984375" style="2" bestFit="1" customWidth="1"/>
    <col min="7683" max="7683" width="4" style="2" customWidth="1"/>
    <col min="7684" max="7684" width="13" style="2" bestFit="1" customWidth="1"/>
    <col min="7685" max="7685" width="14.1328125" style="2" bestFit="1" customWidth="1"/>
    <col min="7686" max="7686" width="13" style="2" bestFit="1" customWidth="1"/>
    <col min="7687" max="7687" width="10.86328125" style="2" customWidth="1"/>
    <col min="7688" max="7688" width="10.3984375" style="2" customWidth="1"/>
    <col min="7689" max="7689" width="11" style="2" customWidth="1"/>
    <col min="7690" max="7693" width="9.06640625" style="2"/>
    <col min="7694" max="7694" width="10" style="2" customWidth="1"/>
    <col min="7695" max="7936" width="9.06640625" style="2"/>
    <col min="7937" max="7937" width="9.265625" style="2" bestFit="1" customWidth="1"/>
    <col min="7938" max="7938" width="10.3984375" style="2" bestFit="1" customWidth="1"/>
    <col min="7939" max="7939" width="4" style="2" customWidth="1"/>
    <col min="7940" max="7940" width="13" style="2" bestFit="1" customWidth="1"/>
    <col min="7941" max="7941" width="14.1328125" style="2" bestFit="1" customWidth="1"/>
    <col min="7942" max="7942" width="13" style="2" bestFit="1" customWidth="1"/>
    <col min="7943" max="7943" width="10.86328125" style="2" customWidth="1"/>
    <col min="7944" max="7944" width="10.3984375" style="2" customWidth="1"/>
    <col min="7945" max="7945" width="11" style="2" customWidth="1"/>
    <col min="7946" max="7949" width="9.06640625" style="2"/>
    <col min="7950" max="7950" width="10" style="2" customWidth="1"/>
    <col min="7951" max="8192" width="9.06640625" style="2"/>
    <col min="8193" max="8193" width="9.265625" style="2" bestFit="1" customWidth="1"/>
    <col min="8194" max="8194" width="10.3984375" style="2" bestFit="1" customWidth="1"/>
    <col min="8195" max="8195" width="4" style="2" customWidth="1"/>
    <col min="8196" max="8196" width="13" style="2" bestFit="1" customWidth="1"/>
    <col min="8197" max="8197" width="14.1328125" style="2" bestFit="1" customWidth="1"/>
    <col min="8198" max="8198" width="13" style="2" bestFit="1" customWidth="1"/>
    <col min="8199" max="8199" width="10.86328125" style="2" customWidth="1"/>
    <col min="8200" max="8200" width="10.3984375" style="2" customWidth="1"/>
    <col min="8201" max="8201" width="11" style="2" customWidth="1"/>
    <col min="8202" max="8205" width="9.06640625" style="2"/>
    <col min="8206" max="8206" width="10" style="2" customWidth="1"/>
    <col min="8207" max="8448" width="9.06640625" style="2"/>
    <col min="8449" max="8449" width="9.265625" style="2" bestFit="1" customWidth="1"/>
    <col min="8450" max="8450" width="10.3984375" style="2" bestFit="1" customWidth="1"/>
    <col min="8451" max="8451" width="4" style="2" customWidth="1"/>
    <col min="8452" max="8452" width="13" style="2" bestFit="1" customWidth="1"/>
    <col min="8453" max="8453" width="14.1328125" style="2" bestFit="1" customWidth="1"/>
    <col min="8454" max="8454" width="13" style="2" bestFit="1" customWidth="1"/>
    <col min="8455" max="8455" width="10.86328125" style="2" customWidth="1"/>
    <col min="8456" max="8456" width="10.3984375" style="2" customWidth="1"/>
    <col min="8457" max="8457" width="11" style="2" customWidth="1"/>
    <col min="8458" max="8461" width="9.06640625" style="2"/>
    <col min="8462" max="8462" width="10" style="2" customWidth="1"/>
    <col min="8463" max="8704" width="9.06640625" style="2"/>
    <col min="8705" max="8705" width="9.265625" style="2" bestFit="1" customWidth="1"/>
    <col min="8706" max="8706" width="10.3984375" style="2" bestFit="1" customWidth="1"/>
    <col min="8707" max="8707" width="4" style="2" customWidth="1"/>
    <col min="8708" max="8708" width="13" style="2" bestFit="1" customWidth="1"/>
    <col min="8709" max="8709" width="14.1328125" style="2" bestFit="1" customWidth="1"/>
    <col min="8710" max="8710" width="13" style="2" bestFit="1" customWidth="1"/>
    <col min="8711" max="8711" width="10.86328125" style="2" customWidth="1"/>
    <col min="8712" max="8712" width="10.3984375" style="2" customWidth="1"/>
    <col min="8713" max="8713" width="11" style="2" customWidth="1"/>
    <col min="8714" max="8717" width="9.06640625" style="2"/>
    <col min="8718" max="8718" width="10" style="2" customWidth="1"/>
    <col min="8719" max="8960" width="9.06640625" style="2"/>
    <col min="8961" max="8961" width="9.265625" style="2" bestFit="1" customWidth="1"/>
    <col min="8962" max="8962" width="10.3984375" style="2" bestFit="1" customWidth="1"/>
    <col min="8963" max="8963" width="4" style="2" customWidth="1"/>
    <col min="8964" max="8964" width="13" style="2" bestFit="1" customWidth="1"/>
    <col min="8965" max="8965" width="14.1328125" style="2" bestFit="1" customWidth="1"/>
    <col min="8966" max="8966" width="13" style="2" bestFit="1" customWidth="1"/>
    <col min="8967" max="8967" width="10.86328125" style="2" customWidth="1"/>
    <col min="8968" max="8968" width="10.3984375" style="2" customWidth="1"/>
    <col min="8969" max="8969" width="11" style="2" customWidth="1"/>
    <col min="8970" max="8973" width="9.06640625" style="2"/>
    <col min="8974" max="8974" width="10" style="2" customWidth="1"/>
    <col min="8975" max="9216" width="9.06640625" style="2"/>
    <col min="9217" max="9217" width="9.265625" style="2" bestFit="1" customWidth="1"/>
    <col min="9218" max="9218" width="10.3984375" style="2" bestFit="1" customWidth="1"/>
    <col min="9219" max="9219" width="4" style="2" customWidth="1"/>
    <col min="9220" max="9220" width="13" style="2" bestFit="1" customWidth="1"/>
    <col min="9221" max="9221" width="14.1328125" style="2" bestFit="1" customWidth="1"/>
    <col min="9222" max="9222" width="13" style="2" bestFit="1" customWidth="1"/>
    <col min="9223" max="9223" width="10.86328125" style="2" customWidth="1"/>
    <col min="9224" max="9224" width="10.3984375" style="2" customWidth="1"/>
    <col min="9225" max="9225" width="11" style="2" customWidth="1"/>
    <col min="9226" max="9229" width="9.06640625" style="2"/>
    <col min="9230" max="9230" width="10" style="2" customWidth="1"/>
    <col min="9231" max="9472" width="9.06640625" style="2"/>
    <col min="9473" max="9473" width="9.265625" style="2" bestFit="1" customWidth="1"/>
    <col min="9474" max="9474" width="10.3984375" style="2" bestFit="1" customWidth="1"/>
    <col min="9475" max="9475" width="4" style="2" customWidth="1"/>
    <col min="9476" max="9476" width="13" style="2" bestFit="1" customWidth="1"/>
    <col min="9477" max="9477" width="14.1328125" style="2" bestFit="1" customWidth="1"/>
    <col min="9478" max="9478" width="13" style="2" bestFit="1" customWidth="1"/>
    <col min="9479" max="9479" width="10.86328125" style="2" customWidth="1"/>
    <col min="9480" max="9480" width="10.3984375" style="2" customWidth="1"/>
    <col min="9481" max="9481" width="11" style="2" customWidth="1"/>
    <col min="9482" max="9485" width="9.06640625" style="2"/>
    <col min="9486" max="9486" width="10" style="2" customWidth="1"/>
    <col min="9487" max="9728" width="9.06640625" style="2"/>
    <col min="9729" max="9729" width="9.265625" style="2" bestFit="1" customWidth="1"/>
    <col min="9730" max="9730" width="10.3984375" style="2" bestFit="1" customWidth="1"/>
    <col min="9731" max="9731" width="4" style="2" customWidth="1"/>
    <col min="9732" max="9732" width="13" style="2" bestFit="1" customWidth="1"/>
    <col min="9733" max="9733" width="14.1328125" style="2" bestFit="1" customWidth="1"/>
    <col min="9734" max="9734" width="13" style="2" bestFit="1" customWidth="1"/>
    <col min="9735" max="9735" width="10.86328125" style="2" customWidth="1"/>
    <col min="9736" max="9736" width="10.3984375" style="2" customWidth="1"/>
    <col min="9737" max="9737" width="11" style="2" customWidth="1"/>
    <col min="9738" max="9741" width="9.06640625" style="2"/>
    <col min="9742" max="9742" width="10" style="2" customWidth="1"/>
    <col min="9743" max="9984" width="9.06640625" style="2"/>
    <col min="9985" max="9985" width="9.265625" style="2" bestFit="1" customWidth="1"/>
    <col min="9986" max="9986" width="10.3984375" style="2" bestFit="1" customWidth="1"/>
    <col min="9987" max="9987" width="4" style="2" customWidth="1"/>
    <col min="9988" max="9988" width="13" style="2" bestFit="1" customWidth="1"/>
    <col min="9989" max="9989" width="14.1328125" style="2" bestFit="1" customWidth="1"/>
    <col min="9990" max="9990" width="13" style="2" bestFit="1" customWidth="1"/>
    <col min="9991" max="9991" width="10.86328125" style="2" customWidth="1"/>
    <col min="9992" max="9992" width="10.3984375" style="2" customWidth="1"/>
    <col min="9993" max="9993" width="11" style="2" customWidth="1"/>
    <col min="9994" max="9997" width="9.06640625" style="2"/>
    <col min="9998" max="9998" width="10" style="2" customWidth="1"/>
    <col min="9999" max="10240" width="9.06640625" style="2"/>
    <col min="10241" max="10241" width="9.265625" style="2" bestFit="1" customWidth="1"/>
    <col min="10242" max="10242" width="10.3984375" style="2" bestFit="1" customWidth="1"/>
    <col min="10243" max="10243" width="4" style="2" customWidth="1"/>
    <col min="10244" max="10244" width="13" style="2" bestFit="1" customWidth="1"/>
    <col min="10245" max="10245" width="14.1328125" style="2" bestFit="1" customWidth="1"/>
    <col min="10246" max="10246" width="13" style="2" bestFit="1" customWidth="1"/>
    <col min="10247" max="10247" width="10.86328125" style="2" customWidth="1"/>
    <col min="10248" max="10248" width="10.3984375" style="2" customWidth="1"/>
    <col min="10249" max="10249" width="11" style="2" customWidth="1"/>
    <col min="10250" max="10253" width="9.06640625" style="2"/>
    <col min="10254" max="10254" width="10" style="2" customWidth="1"/>
    <col min="10255" max="10496" width="9.06640625" style="2"/>
    <col min="10497" max="10497" width="9.265625" style="2" bestFit="1" customWidth="1"/>
    <col min="10498" max="10498" width="10.3984375" style="2" bestFit="1" customWidth="1"/>
    <col min="10499" max="10499" width="4" style="2" customWidth="1"/>
    <col min="10500" max="10500" width="13" style="2" bestFit="1" customWidth="1"/>
    <col min="10501" max="10501" width="14.1328125" style="2" bestFit="1" customWidth="1"/>
    <col min="10502" max="10502" width="13" style="2" bestFit="1" customWidth="1"/>
    <col min="10503" max="10503" width="10.86328125" style="2" customWidth="1"/>
    <col min="10504" max="10504" width="10.3984375" style="2" customWidth="1"/>
    <col min="10505" max="10505" width="11" style="2" customWidth="1"/>
    <col min="10506" max="10509" width="9.06640625" style="2"/>
    <col min="10510" max="10510" width="10" style="2" customWidth="1"/>
    <col min="10511" max="10752" width="9.06640625" style="2"/>
    <col min="10753" max="10753" width="9.265625" style="2" bestFit="1" customWidth="1"/>
    <col min="10754" max="10754" width="10.3984375" style="2" bestFit="1" customWidth="1"/>
    <col min="10755" max="10755" width="4" style="2" customWidth="1"/>
    <col min="10756" max="10756" width="13" style="2" bestFit="1" customWidth="1"/>
    <col min="10757" max="10757" width="14.1328125" style="2" bestFit="1" customWidth="1"/>
    <col min="10758" max="10758" width="13" style="2" bestFit="1" customWidth="1"/>
    <col min="10759" max="10759" width="10.86328125" style="2" customWidth="1"/>
    <col min="10760" max="10760" width="10.3984375" style="2" customWidth="1"/>
    <col min="10761" max="10761" width="11" style="2" customWidth="1"/>
    <col min="10762" max="10765" width="9.06640625" style="2"/>
    <col min="10766" max="10766" width="10" style="2" customWidth="1"/>
    <col min="10767" max="11008" width="9.06640625" style="2"/>
    <col min="11009" max="11009" width="9.265625" style="2" bestFit="1" customWidth="1"/>
    <col min="11010" max="11010" width="10.3984375" style="2" bestFit="1" customWidth="1"/>
    <col min="11011" max="11011" width="4" style="2" customWidth="1"/>
    <col min="11012" max="11012" width="13" style="2" bestFit="1" customWidth="1"/>
    <col min="11013" max="11013" width="14.1328125" style="2" bestFit="1" customWidth="1"/>
    <col min="11014" max="11014" width="13" style="2" bestFit="1" customWidth="1"/>
    <col min="11015" max="11015" width="10.86328125" style="2" customWidth="1"/>
    <col min="11016" max="11016" width="10.3984375" style="2" customWidth="1"/>
    <col min="11017" max="11017" width="11" style="2" customWidth="1"/>
    <col min="11018" max="11021" width="9.06640625" style="2"/>
    <col min="11022" max="11022" width="10" style="2" customWidth="1"/>
    <col min="11023" max="11264" width="9.06640625" style="2"/>
    <col min="11265" max="11265" width="9.265625" style="2" bestFit="1" customWidth="1"/>
    <col min="11266" max="11266" width="10.3984375" style="2" bestFit="1" customWidth="1"/>
    <col min="11267" max="11267" width="4" style="2" customWidth="1"/>
    <col min="11268" max="11268" width="13" style="2" bestFit="1" customWidth="1"/>
    <col min="11269" max="11269" width="14.1328125" style="2" bestFit="1" customWidth="1"/>
    <col min="11270" max="11270" width="13" style="2" bestFit="1" customWidth="1"/>
    <col min="11271" max="11271" width="10.86328125" style="2" customWidth="1"/>
    <col min="11272" max="11272" width="10.3984375" style="2" customWidth="1"/>
    <col min="11273" max="11273" width="11" style="2" customWidth="1"/>
    <col min="11274" max="11277" width="9.06640625" style="2"/>
    <col min="11278" max="11278" width="10" style="2" customWidth="1"/>
    <col min="11279" max="11520" width="9.06640625" style="2"/>
    <col min="11521" max="11521" width="9.265625" style="2" bestFit="1" customWidth="1"/>
    <col min="11522" max="11522" width="10.3984375" style="2" bestFit="1" customWidth="1"/>
    <col min="11523" max="11523" width="4" style="2" customWidth="1"/>
    <col min="11524" max="11524" width="13" style="2" bestFit="1" customWidth="1"/>
    <col min="11525" max="11525" width="14.1328125" style="2" bestFit="1" customWidth="1"/>
    <col min="11526" max="11526" width="13" style="2" bestFit="1" customWidth="1"/>
    <col min="11527" max="11527" width="10.86328125" style="2" customWidth="1"/>
    <col min="11528" max="11528" width="10.3984375" style="2" customWidth="1"/>
    <col min="11529" max="11529" width="11" style="2" customWidth="1"/>
    <col min="11530" max="11533" width="9.06640625" style="2"/>
    <col min="11534" max="11534" width="10" style="2" customWidth="1"/>
    <col min="11535" max="11776" width="9.06640625" style="2"/>
    <col min="11777" max="11777" width="9.265625" style="2" bestFit="1" customWidth="1"/>
    <col min="11778" max="11778" width="10.3984375" style="2" bestFit="1" customWidth="1"/>
    <col min="11779" max="11779" width="4" style="2" customWidth="1"/>
    <col min="11780" max="11780" width="13" style="2" bestFit="1" customWidth="1"/>
    <col min="11781" max="11781" width="14.1328125" style="2" bestFit="1" customWidth="1"/>
    <col min="11782" max="11782" width="13" style="2" bestFit="1" customWidth="1"/>
    <col min="11783" max="11783" width="10.86328125" style="2" customWidth="1"/>
    <col min="11784" max="11784" width="10.3984375" style="2" customWidth="1"/>
    <col min="11785" max="11785" width="11" style="2" customWidth="1"/>
    <col min="11786" max="11789" width="9.06640625" style="2"/>
    <col min="11790" max="11790" width="10" style="2" customWidth="1"/>
    <col min="11791" max="12032" width="9.06640625" style="2"/>
    <col min="12033" max="12033" width="9.265625" style="2" bestFit="1" customWidth="1"/>
    <col min="12034" max="12034" width="10.3984375" style="2" bestFit="1" customWidth="1"/>
    <col min="12035" max="12035" width="4" style="2" customWidth="1"/>
    <col min="12036" max="12036" width="13" style="2" bestFit="1" customWidth="1"/>
    <col min="12037" max="12037" width="14.1328125" style="2" bestFit="1" customWidth="1"/>
    <col min="12038" max="12038" width="13" style="2" bestFit="1" customWidth="1"/>
    <col min="12039" max="12039" width="10.86328125" style="2" customWidth="1"/>
    <col min="12040" max="12040" width="10.3984375" style="2" customWidth="1"/>
    <col min="12041" max="12041" width="11" style="2" customWidth="1"/>
    <col min="12042" max="12045" width="9.06640625" style="2"/>
    <col min="12046" max="12046" width="10" style="2" customWidth="1"/>
    <col min="12047" max="12288" width="9.06640625" style="2"/>
    <col min="12289" max="12289" width="9.265625" style="2" bestFit="1" customWidth="1"/>
    <col min="12290" max="12290" width="10.3984375" style="2" bestFit="1" customWidth="1"/>
    <col min="12291" max="12291" width="4" style="2" customWidth="1"/>
    <col min="12292" max="12292" width="13" style="2" bestFit="1" customWidth="1"/>
    <col min="12293" max="12293" width="14.1328125" style="2" bestFit="1" customWidth="1"/>
    <col min="12294" max="12294" width="13" style="2" bestFit="1" customWidth="1"/>
    <col min="12295" max="12295" width="10.86328125" style="2" customWidth="1"/>
    <col min="12296" max="12296" width="10.3984375" style="2" customWidth="1"/>
    <col min="12297" max="12297" width="11" style="2" customWidth="1"/>
    <col min="12298" max="12301" width="9.06640625" style="2"/>
    <col min="12302" max="12302" width="10" style="2" customWidth="1"/>
    <col min="12303" max="12544" width="9.06640625" style="2"/>
    <col min="12545" max="12545" width="9.265625" style="2" bestFit="1" customWidth="1"/>
    <col min="12546" max="12546" width="10.3984375" style="2" bestFit="1" customWidth="1"/>
    <col min="12547" max="12547" width="4" style="2" customWidth="1"/>
    <col min="12548" max="12548" width="13" style="2" bestFit="1" customWidth="1"/>
    <col min="12549" max="12549" width="14.1328125" style="2" bestFit="1" customWidth="1"/>
    <col min="12550" max="12550" width="13" style="2" bestFit="1" customWidth="1"/>
    <col min="12551" max="12551" width="10.86328125" style="2" customWidth="1"/>
    <col min="12552" max="12552" width="10.3984375" style="2" customWidth="1"/>
    <col min="12553" max="12553" width="11" style="2" customWidth="1"/>
    <col min="12554" max="12557" width="9.06640625" style="2"/>
    <col min="12558" max="12558" width="10" style="2" customWidth="1"/>
    <col min="12559" max="12800" width="9.06640625" style="2"/>
    <col min="12801" max="12801" width="9.265625" style="2" bestFit="1" customWidth="1"/>
    <col min="12802" max="12802" width="10.3984375" style="2" bestFit="1" customWidth="1"/>
    <col min="12803" max="12803" width="4" style="2" customWidth="1"/>
    <col min="12804" max="12804" width="13" style="2" bestFit="1" customWidth="1"/>
    <col min="12805" max="12805" width="14.1328125" style="2" bestFit="1" customWidth="1"/>
    <col min="12806" max="12806" width="13" style="2" bestFit="1" customWidth="1"/>
    <col min="12807" max="12807" width="10.86328125" style="2" customWidth="1"/>
    <col min="12808" max="12808" width="10.3984375" style="2" customWidth="1"/>
    <col min="12809" max="12809" width="11" style="2" customWidth="1"/>
    <col min="12810" max="12813" width="9.06640625" style="2"/>
    <col min="12814" max="12814" width="10" style="2" customWidth="1"/>
    <col min="12815" max="13056" width="9.06640625" style="2"/>
    <col min="13057" max="13057" width="9.265625" style="2" bestFit="1" customWidth="1"/>
    <col min="13058" max="13058" width="10.3984375" style="2" bestFit="1" customWidth="1"/>
    <col min="13059" max="13059" width="4" style="2" customWidth="1"/>
    <col min="13060" max="13060" width="13" style="2" bestFit="1" customWidth="1"/>
    <col min="13061" max="13061" width="14.1328125" style="2" bestFit="1" customWidth="1"/>
    <col min="13062" max="13062" width="13" style="2" bestFit="1" customWidth="1"/>
    <col min="13063" max="13063" width="10.86328125" style="2" customWidth="1"/>
    <col min="13064" max="13064" width="10.3984375" style="2" customWidth="1"/>
    <col min="13065" max="13065" width="11" style="2" customWidth="1"/>
    <col min="13066" max="13069" width="9.06640625" style="2"/>
    <col min="13070" max="13070" width="10" style="2" customWidth="1"/>
    <col min="13071" max="13312" width="9.06640625" style="2"/>
    <col min="13313" max="13313" width="9.265625" style="2" bestFit="1" customWidth="1"/>
    <col min="13314" max="13314" width="10.3984375" style="2" bestFit="1" customWidth="1"/>
    <col min="13315" max="13315" width="4" style="2" customWidth="1"/>
    <col min="13316" max="13316" width="13" style="2" bestFit="1" customWidth="1"/>
    <col min="13317" max="13317" width="14.1328125" style="2" bestFit="1" customWidth="1"/>
    <col min="13318" max="13318" width="13" style="2" bestFit="1" customWidth="1"/>
    <col min="13319" max="13319" width="10.86328125" style="2" customWidth="1"/>
    <col min="13320" max="13320" width="10.3984375" style="2" customWidth="1"/>
    <col min="13321" max="13321" width="11" style="2" customWidth="1"/>
    <col min="13322" max="13325" width="9.06640625" style="2"/>
    <col min="13326" max="13326" width="10" style="2" customWidth="1"/>
    <col min="13327" max="13568" width="9.06640625" style="2"/>
    <col min="13569" max="13569" width="9.265625" style="2" bestFit="1" customWidth="1"/>
    <col min="13570" max="13570" width="10.3984375" style="2" bestFit="1" customWidth="1"/>
    <col min="13571" max="13571" width="4" style="2" customWidth="1"/>
    <col min="13572" max="13572" width="13" style="2" bestFit="1" customWidth="1"/>
    <col min="13573" max="13573" width="14.1328125" style="2" bestFit="1" customWidth="1"/>
    <col min="13574" max="13574" width="13" style="2" bestFit="1" customWidth="1"/>
    <col min="13575" max="13575" width="10.86328125" style="2" customWidth="1"/>
    <col min="13576" max="13576" width="10.3984375" style="2" customWidth="1"/>
    <col min="13577" max="13577" width="11" style="2" customWidth="1"/>
    <col min="13578" max="13581" width="9.06640625" style="2"/>
    <col min="13582" max="13582" width="10" style="2" customWidth="1"/>
    <col min="13583" max="13824" width="9.06640625" style="2"/>
    <col min="13825" max="13825" width="9.265625" style="2" bestFit="1" customWidth="1"/>
    <col min="13826" max="13826" width="10.3984375" style="2" bestFit="1" customWidth="1"/>
    <col min="13827" max="13827" width="4" style="2" customWidth="1"/>
    <col min="13828" max="13828" width="13" style="2" bestFit="1" customWidth="1"/>
    <col min="13829" max="13829" width="14.1328125" style="2" bestFit="1" customWidth="1"/>
    <col min="13830" max="13830" width="13" style="2" bestFit="1" customWidth="1"/>
    <col min="13831" max="13831" width="10.86328125" style="2" customWidth="1"/>
    <col min="13832" max="13832" width="10.3984375" style="2" customWidth="1"/>
    <col min="13833" max="13833" width="11" style="2" customWidth="1"/>
    <col min="13834" max="13837" width="9.06640625" style="2"/>
    <col min="13838" max="13838" width="10" style="2" customWidth="1"/>
    <col min="13839" max="14080" width="9.06640625" style="2"/>
    <col min="14081" max="14081" width="9.265625" style="2" bestFit="1" customWidth="1"/>
    <col min="14082" max="14082" width="10.3984375" style="2" bestFit="1" customWidth="1"/>
    <col min="14083" max="14083" width="4" style="2" customWidth="1"/>
    <col min="14084" max="14084" width="13" style="2" bestFit="1" customWidth="1"/>
    <col min="14085" max="14085" width="14.1328125" style="2" bestFit="1" customWidth="1"/>
    <col min="14086" max="14086" width="13" style="2" bestFit="1" customWidth="1"/>
    <col min="14087" max="14087" width="10.86328125" style="2" customWidth="1"/>
    <col min="14088" max="14088" width="10.3984375" style="2" customWidth="1"/>
    <col min="14089" max="14089" width="11" style="2" customWidth="1"/>
    <col min="14090" max="14093" width="9.06640625" style="2"/>
    <col min="14094" max="14094" width="10" style="2" customWidth="1"/>
    <col min="14095" max="14336" width="9.06640625" style="2"/>
    <col min="14337" max="14337" width="9.265625" style="2" bestFit="1" customWidth="1"/>
    <col min="14338" max="14338" width="10.3984375" style="2" bestFit="1" customWidth="1"/>
    <col min="14339" max="14339" width="4" style="2" customWidth="1"/>
    <col min="14340" max="14340" width="13" style="2" bestFit="1" customWidth="1"/>
    <col min="14341" max="14341" width="14.1328125" style="2" bestFit="1" customWidth="1"/>
    <col min="14342" max="14342" width="13" style="2" bestFit="1" customWidth="1"/>
    <col min="14343" max="14343" width="10.86328125" style="2" customWidth="1"/>
    <col min="14344" max="14344" width="10.3984375" style="2" customWidth="1"/>
    <col min="14345" max="14345" width="11" style="2" customWidth="1"/>
    <col min="14346" max="14349" width="9.06640625" style="2"/>
    <col min="14350" max="14350" width="10" style="2" customWidth="1"/>
    <col min="14351" max="14592" width="9.06640625" style="2"/>
    <col min="14593" max="14593" width="9.265625" style="2" bestFit="1" customWidth="1"/>
    <col min="14594" max="14594" width="10.3984375" style="2" bestFit="1" customWidth="1"/>
    <col min="14595" max="14595" width="4" style="2" customWidth="1"/>
    <col min="14596" max="14596" width="13" style="2" bestFit="1" customWidth="1"/>
    <col min="14597" max="14597" width="14.1328125" style="2" bestFit="1" customWidth="1"/>
    <col min="14598" max="14598" width="13" style="2" bestFit="1" customWidth="1"/>
    <col min="14599" max="14599" width="10.86328125" style="2" customWidth="1"/>
    <col min="14600" max="14600" width="10.3984375" style="2" customWidth="1"/>
    <col min="14601" max="14601" width="11" style="2" customWidth="1"/>
    <col min="14602" max="14605" width="9.06640625" style="2"/>
    <col min="14606" max="14606" width="10" style="2" customWidth="1"/>
    <col min="14607" max="14848" width="9.06640625" style="2"/>
    <col min="14849" max="14849" width="9.265625" style="2" bestFit="1" customWidth="1"/>
    <col min="14850" max="14850" width="10.3984375" style="2" bestFit="1" customWidth="1"/>
    <col min="14851" max="14851" width="4" style="2" customWidth="1"/>
    <col min="14852" max="14852" width="13" style="2" bestFit="1" customWidth="1"/>
    <col min="14853" max="14853" width="14.1328125" style="2" bestFit="1" customWidth="1"/>
    <col min="14854" max="14854" width="13" style="2" bestFit="1" customWidth="1"/>
    <col min="14855" max="14855" width="10.86328125" style="2" customWidth="1"/>
    <col min="14856" max="14856" width="10.3984375" style="2" customWidth="1"/>
    <col min="14857" max="14857" width="11" style="2" customWidth="1"/>
    <col min="14858" max="14861" width="9.06640625" style="2"/>
    <col min="14862" max="14862" width="10" style="2" customWidth="1"/>
    <col min="14863" max="15104" width="9.06640625" style="2"/>
    <col min="15105" max="15105" width="9.265625" style="2" bestFit="1" customWidth="1"/>
    <col min="15106" max="15106" width="10.3984375" style="2" bestFit="1" customWidth="1"/>
    <col min="15107" max="15107" width="4" style="2" customWidth="1"/>
    <col min="15108" max="15108" width="13" style="2" bestFit="1" customWidth="1"/>
    <col min="15109" max="15109" width="14.1328125" style="2" bestFit="1" customWidth="1"/>
    <col min="15110" max="15110" width="13" style="2" bestFit="1" customWidth="1"/>
    <col min="15111" max="15111" width="10.86328125" style="2" customWidth="1"/>
    <col min="15112" max="15112" width="10.3984375" style="2" customWidth="1"/>
    <col min="15113" max="15113" width="11" style="2" customWidth="1"/>
    <col min="15114" max="15117" width="9.06640625" style="2"/>
    <col min="15118" max="15118" width="10" style="2" customWidth="1"/>
    <col min="15119" max="15360" width="9.06640625" style="2"/>
    <col min="15361" max="15361" width="9.265625" style="2" bestFit="1" customWidth="1"/>
    <col min="15362" max="15362" width="10.3984375" style="2" bestFit="1" customWidth="1"/>
    <col min="15363" max="15363" width="4" style="2" customWidth="1"/>
    <col min="15364" max="15364" width="13" style="2" bestFit="1" customWidth="1"/>
    <col min="15365" max="15365" width="14.1328125" style="2" bestFit="1" customWidth="1"/>
    <col min="15366" max="15366" width="13" style="2" bestFit="1" customWidth="1"/>
    <col min="15367" max="15367" width="10.86328125" style="2" customWidth="1"/>
    <col min="15368" max="15368" width="10.3984375" style="2" customWidth="1"/>
    <col min="15369" max="15369" width="11" style="2" customWidth="1"/>
    <col min="15370" max="15373" width="9.06640625" style="2"/>
    <col min="15374" max="15374" width="10" style="2" customWidth="1"/>
    <col min="15375" max="15616" width="9.06640625" style="2"/>
    <col min="15617" max="15617" width="9.265625" style="2" bestFit="1" customWidth="1"/>
    <col min="15618" max="15618" width="10.3984375" style="2" bestFit="1" customWidth="1"/>
    <col min="15619" max="15619" width="4" style="2" customWidth="1"/>
    <col min="15620" max="15620" width="13" style="2" bestFit="1" customWidth="1"/>
    <col min="15621" max="15621" width="14.1328125" style="2" bestFit="1" customWidth="1"/>
    <col min="15622" max="15622" width="13" style="2" bestFit="1" customWidth="1"/>
    <col min="15623" max="15623" width="10.86328125" style="2" customWidth="1"/>
    <col min="15624" max="15624" width="10.3984375" style="2" customWidth="1"/>
    <col min="15625" max="15625" width="11" style="2" customWidth="1"/>
    <col min="15626" max="15629" width="9.06640625" style="2"/>
    <col min="15630" max="15630" width="10" style="2" customWidth="1"/>
    <col min="15631" max="15872" width="9.06640625" style="2"/>
    <col min="15873" max="15873" width="9.265625" style="2" bestFit="1" customWidth="1"/>
    <col min="15874" max="15874" width="10.3984375" style="2" bestFit="1" customWidth="1"/>
    <col min="15875" max="15875" width="4" style="2" customWidth="1"/>
    <col min="15876" max="15876" width="13" style="2" bestFit="1" customWidth="1"/>
    <col min="15877" max="15877" width="14.1328125" style="2" bestFit="1" customWidth="1"/>
    <col min="15878" max="15878" width="13" style="2" bestFit="1" customWidth="1"/>
    <col min="15879" max="15879" width="10.86328125" style="2" customWidth="1"/>
    <col min="15880" max="15880" width="10.3984375" style="2" customWidth="1"/>
    <col min="15881" max="15881" width="11" style="2" customWidth="1"/>
    <col min="15882" max="15885" width="9.06640625" style="2"/>
    <col min="15886" max="15886" width="10" style="2" customWidth="1"/>
    <col min="15887" max="16128" width="9.06640625" style="2"/>
    <col min="16129" max="16129" width="9.265625" style="2" bestFit="1" customWidth="1"/>
    <col min="16130" max="16130" width="10.3984375" style="2" bestFit="1" customWidth="1"/>
    <col min="16131" max="16131" width="4" style="2" customWidth="1"/>
    <col min="16132" max="16132" width="13" style="2" bestFit="1" customWidth="1"/>
    <col min="16133" max="16133" width="14.1328125" style="2" bestFit="1" customWidth="1"/>
    <col min="16134" max="16134" width="13" style="2" bestFit="1" customWidth="1"/>
    <col min="16135" max="16135" width="10.86328125" style="2" customWidth="1"/>
    <col min="16136" max="16136" width="10.3984375" style="2" customWidth="1"/>
    <col min="16137" max="16137" width="11" style="2" customWidth="1"/>
    <col min="16138" max="16141" width="9.06640625" style="2"/>
    <col min="16142" max="16142" width="10" style="2" customWidth="1"/>
    <col min="16143" max="16384" width="9.06640625" style="2"/>
  </cols>
  <sheetData>
    <row r="1" spans="2:18" x14ac:dyDescent="0.4">
      <c r="B1" s="241" t="str">
        <f>UPPER(state)</f>
        <v>OREGON</v>
      </c>
      <c r="C1" s="241"/>
      <c r="D1" s="241"/>
      <c r="E1" s="241"/>
      <c r="F1" s="241"/>
      <c r="G1" s="241"/>
      <c r="H1" s="241"/>
      <c r="I1" s="241"/>
    </row>
    <row r="2" spans="2:18" x14ac:dyDescent="0.4">
      <c r="B2" s="241" t="s">
        <v>153</v>
      </c>
      <c r="C2" s="241"/>
      <c r="D2" s="241"/>
      <c r="E2" s="241"/>
      <c r="F2" s="241"/>
      <c r="G2" s="241"/>
      <c r="H2" s="241"/>
      <c r="I2" s="241"/>
    </row>
    <row r="3" spans="2:18" x14ac:dyDescent="0.4">
      <c r="B3" s="241" t="s">
        <v>445</v>
      </c>
      <c r="C3" s="241"/>
      <c r="D3" s="241"/>
      <c r="E3" s="241"/>
      <c r="F3" s="241"/>
      <c r="G3" s="241"/>
      <c r="H3" s="241"/>
      <c r="I3" s="241"/>
    </row>
    <row r="4" spans="2:18" x14ac:dyDescent="0.4">
      <c r="B4" s="241"/>
      <c r="C4" s="241"/>
      <c r="D4" s="241"/>
      <c r="E4" s="241"/>
      <c r="F4" s="241"/>
      <c r="G4" s="241"/>
      <c r="H4" s="241"/>
      <c r="I4" s="241"/>
    </row>
    <row r="5" spans="2:18" x14ac:dyDescent="0.4">
      <c r="B5" s="241" t="s">
        <v>446</v>
      </c>
      <c r="C5" s="241"/>
      <c r="D5" s="241"/>
      <c r="E5" s="241"/>
      <c r="F5" s="241"/>
      <c r="G5" s="241"/>
      <c r="H5" s="241"/>
      <c r="I5" s="241"/>
    </row>
    <row r="6" spans="2:18" x14ac:dyDescent="0.4">
      <c r="B6" s="241"/>
      <c r="C6" s="241"/>
      <c r="D6" s="241"/>
      <c r="E6" s="241"/>
      <c r="F6" s="241"/>
      <c r="G6" s="241"/>
      <c r="H6" s="241"/>
      <c r="I6" s="241"/>
    </row>
    <row r="7" spans="2:18" x14ac:dyDescent="0.4">
      <c r="B7" s="42"/>
      <c r="C7" s="42"/>
      <c r="D7" s="62" t="s">
        <v>206</v>
      </c>
      <c r="E7" s="62" t="s">
        <v>207</v>
      </c>
      <c r="F7" s="62" t="s">
        <v>208</v>
      </c>
      <c r="G7" s="62" t="s">
        <v>227</v>
      </c>
      <c r="H7" s="62" t="s">
        <v>230</v>
      </c>
      <c r="I7" s="62" t="s">
        <v>232</v>
      </c>
    </row>
    <row r="8" spans="2:18" x14ac:dyDescent="0.4">
      <c r="B8" s="42"/>
      <c r="C8" s="42"/>
      <c r="D8" s="42"/>
      <c r="E8" s="42"/>
      <c r="F8" s="42"/>
      <c r="G8" s="42"/>
      <c r="H8" s="42" t="s">
        <v>447</v>
      </c>
      <c r="I8" s="42" t="s">
        <v>448</v>
      </c>
    </row>
    <row r="9" spans="2:18" x14ac:dyDescent="0.4">
      <c r="B9" s="42"/>
      <c r="C9" s="42"/>
      <c r="D9" s="42"/>
      <c r="E9" s="42"/>
      <c r="F9" s="42" t="s">
        <v>449</v>
      </c>
      <c r="G9" s="42" t="s">
        <v>449</v>
      </c>
      <c r="H9" s="42" t="s">
        <v>450</v>
      </c>
      <c r="I9" s="42" t="s">
        <v>450</v>
      </c>
    </row>
    <row r="10" spans="2:18" x14ac:dyDescent="0.4">
      <c r="B10" s="42" t="s">
        <v>451</v>
      </c>
      <c r="C10" s="42"/>
      <c r="D10" s="42" t="s">
        <v>267</v>
      </c>
      <c r="E10" s="42" t="s">
        <v>452</v>
      </c>
      <c r="F10" s="42" t="s">
        <v>452</v>
      </c>
      <c r="G10" s="42" t="s">
        <v>453</v>
      </c>
      <c r="H10" s="42" t="s">
        <v>453</v>
      </c>
      <c r="I10" s="42" t="s">
        <v>453</v>
      </c>
    </row>
    <row r="11" spans="2:18" x14ac:dyDescent="0.4">
      <c r="B11" s="52" t="s">
        <v>454</v>
      </c>
      <c r="C11" s="42"/>
      <c r="D11" s="52" t="s">
        <v>455</v>
      </c>
      <c r="E11" s="52" t="s">
        <v>272</v>
      </c>
      <c r="F11" s="52" t="s">
        <v>272</v>
      </c>
      <c r="G11" s="52" t="s">
        <v>264</v>
      </c>
      <c r="H11" s="52" t="s">
        <v>264</v>
      </c>
      <c r="I11" s="52" t="s">
        <v>264</v>
      </c>
    </row>
    <row r="13" spans="2:18" x14ac:dyDescent="0.4">
      <c r="B13" s="177">
        <v>33511</v>
      </c>
      <c r="D13" s="178">
        <v>295093.18650000001</v>
      </c>
      <c r="E13" s="178">
        <v>114989</v>
      </c>
      <c r="F13" s="178">
        <v>114988.9844</v>
      </c>
      <c r="G13" s="179">
        <v>0.38967000000000002</v>
      </c>
      <c r="H13" s="179">
        <v>0</v>
      </c>
      <c r="I13" s="179">
        <v>0</v>
      </c>
      <c r="K13" s="177"/>
      <c r="M13" s="180"/>
      <c r="N13" s="180"/>
      <c r="O13" s="180"/>
      <c r="P13" s="181"/>
      <c r="Q13" s="181"/>
      <c r="R13" s="181"/>
    </row>
    <row r="14" spans="2:18" x14ac:dyDescent="0.4">
      <c r="B14" s="177">
        <v>33877</v>
      </c>
      <c r="D14" s="178">
        <v>305516.34009999997</v>
      </c>
      <c r="E14" s="178">
        <v>85288</v>
      </c>
      <c r="F14" s="178">
        <v>85288.290829999998</v>
      </c>
      <c r="G14" s="179">
        <v>0.27916000000000002</v>
      </c>
      <c r="H14" s="179">
        <v>0</v>
      </c>
      <c r="I14" s="179">
        <v>0</v>
      </c>
      <c r="K14" s="177"/>
      <c r="M14" s="180"/>
      <c r="N14" s="180"/>
      <c r="O14" s="180"/>
      <c r="P14" s="181"/>
      <c r="Q14" s="181"/>
      <c r="R14" s="181"/>
    </row>
    <row r="15" spans="2:18" x14ac:dyDescent="0.4">
      <c r="B15" s="177">
        <v>34242</v>
      </c>
      <c r="D15" s="178">
        <v>307958.80300000001</v>
      </c>
      <c r="E15" s="178">
        <v>302920</v>
      </c>
      <c r="F15" s="178">
        <v>162588.42739999999</v>
      </c>
      <c r="G15" s="179">
        <v>0.52795999999999998</v>
      </c>
      <c r="H15" s="179">
        <v>0.35835</v>
      </c>
      <c r="I15" s="179">
        <v>9.7339999999999996E-2</v>
      </c>
      <c r="K15" s="177"/>
      <c r="M15" s="180"/>
      <c r="N15" s="180"/>
      <c r="O15" s="180"/>
      <c r="P15" s="181"/>
      <c r="Q15" s="181"/>
      <c r="R15" s="181"/>
    </row>
    <row r="16" spans="2:18" x14ac:dyDescent="0.4">
      <c r="B16" s="177">
        <v>34607</v>
      </c>
      <c r="D16" s="178">
        <v>314880.44640000002</v>
      </c>
      <c r="E16" s="178">
        <v>155317</v>
      </c>
      <c r="F16" s="178">
        <v>155317.02960000001</v>
      </c>
      <c r="G16" s="179">
        <v>0.49325999999999998</v>
      </c>
      <c r="H16" s="179">
        <v>0</v>
      </c>
      <c r="I16" s="179">
        <v>0</v>
      </c>
      <c r="K16" s="177"/>
      <c r="M16" s="180"/>
      <c r="N16" s="180"/>
      <c r="O16" s="180"/>
      <c r="P16" s="181"/>
      <c r="Q16" s="181"/>
      <c r="R16" s="181"/>
    </row>
    <row r="17" spans="2:18" x14ac:dyDescent="0.4">
      <c r="B17" s="177">
        <v>34972</v>
      </c>
      <c r="D17" s="178">
        <v>313553.27590000001</v>
      </c>
      <c r="E17" s="178">
        <v>426396</v>
      </c>
      <c r="F17" s="178">
        <v>291341.10369999998</v>
      </c>
      <c r="G17" s="179">
        <v>0.92915999999999999</v>
      </c>
      <c r="H17" s="179">
        <v>0.37059999999999998</v>
      </c>
      <c r="I17" s="179">
        <v>6.012E-2</v>
      </c>
      <c r="K17" s="177"/>
      <c r="M17" s="180"/>
      <c r="N17" s="180"/>
      <c r="O17" s="180"/>
      <c r="P17" s="181"/>
      <c r="Q17" s="181"/>
      <c r="R17" s="181"/>
    </row>
    <row r="18" spans="2:18" x14ac:dyDescent="0.4">
      <c r="B18" s="177">
        <v>35338</v>
      </c>
      <c r="D18" s="178">
        <v>324102.25229999999</v>
      </c>
      <c r="E18" s="178">
        <v>869114</v>
      </c>
      <c r="F18" s="178">
        <v>244964.288</v>
      </c>
      <c r="G18" s="179">
        <v>0.75582000000000005</v>
      </c>
      <c r="H18" s="179">
        <v>1.18875</v>
      </c>
      <c r="I18" s="179">
        <v>0.73702999999999996</v>
      </c>
      <c r="K18" s="177"/>
      <c r="M18" s="180"/>
      <c r="N18" s="180"/>
      <c r="O18" s="180"/>
      <c r="P18" s="181"/>
      <c r="Q18" s="181"/>
      <c r="R18" s="181"/>
    </row>
    <row r="19" spans="2:18" x14ac:dyDescent="0.4">
      <c r="B19" s="177">
        <v>35703</v>
      </c>
      <c r="D19" s="178">
        <v>333773.63919999998</v>
      </c>
      <c r="E19" s="178">
        <v>264548</v>
      </c>
      <c r="F19" s="178">
        <v>232120.29629999999</v>
      </c>
      <c r="G19" s="179">
        <v>0.69543999999999995</v>
      </c>
      <c r="H19" s="179">
        <v>9.1880000000000003E-2</v>
      </c>
      <c r="I19" s="179">
        <v>5.2700000000000004E-3</v>
      </c>
      <c r="K19" s="177"/>
      <c r="M19" s="180"/>
      <c r="N19" s="180"/>
      <c r="O19" s="180"/>
      <c r="P19" s="181"/>
      <c r="Q19" s="181"/>
      <c r="R19" s="181"/>
    </row>
    <row r="20" spans="2:18" x14ac:dyDescent="0.4">
      <c r="B20" s="177">
        <v>36068</v>
      </c>
      <c r="D20" s="178">
        <v>344174.14510000002</v>
      </c>
      <c r="E20" s="178">
        <v>153259</v>
      </c>
      <c r="F20" s="178">
        <v>153258.85019999999</v>
      </c>
      <c r="G20" s="179">
        <v>0.44529000000000002</v>
      </c>
      <c r="H20" s="179">
        <v>0</v>
      </c>
      <c r="I20" s="179">
        <v>0</v>
      </c>
      <c r="K20" s="177"/>
      <c r="M20" s="180"/>
      <c r="N20" s="180"/>
      <c r="O20" s="180"/>
      <c r="P20" s="181"/>
      <c r="Q20" s="181"/>
      <c r="R20" s="181"/>
    </row>
    <row r="21" spans="2:18" x14ac:dyDescent="0.4">
      <c r="B21" s="177">
        <v>36433</v>
      </c>
      <c r="D21" s="178">
        <v>348226.7795</v>
      </c>
      <c r="E21" s="178">
        <v>314262</v>
      </c>
      <c r="F21" s="178">
        <v>303927.06640000001</v>
      </c>
      <c r="G21" s="179">
        <v>0.87278</v>
      </c>
      <c r="H21" s="179">
        <v>2.9139999999999999E-2</v>
      </c>
      <c r="I21" s="179">
        <v>5.2999999999999998E-4</v>
      </c>
      <c r="K21" s="177"/>
      <c r="M21" s="180"/>
      <c r="N21" s="180"/>
      <c r="O21" s="180"/>
      <c r="P21" s="181"/>
      <c r="Q21" s="181"/>
      <c r="R21" s="181"/>
    </row>
    <row r="22" spans="2:18" x14ac:dyDescent="0.4">
      <c r="B22" s="177">
        <v>36799</v>
      </c>
      <c r="D22" s="178">
        <v>479100.79310000001</v>
      </c>
      <c r="E22" s="178">
        <v>346458</v>
      </c>
      <c r="F22" s="178">
        <v>290943.62719999999</v>
      </c>
      <c r="G22" s="179">
        <v>0.60726999999999998</v>
      </c>
      <c r="H22" s="179">
        <v>0.10745</v>
      </c>
      <c r="I22" s="179">
        <v>8.4200000000000004E-3</v>
      </c>
      <c r="K22" s="177"/>
      <c r="M22" s="180"/>
      <c r="N22" s="180"/>
      <c r="O22" s="180"/>
      <c r="P22" s="181"/>
      <c r="Q22" s="181"/>
      <c r="R22" s="181"/>
    </row>
    <row r="23" spans="2:18" x14ac:dyDescent="0.4">
      <c r="B23" s="177">
        <v>37164</v>
      </c>
      <c r="D23" s="178">
        <v>638140.41460000002</v>
      </c>
      <c r="E23" s="178">
        <v>278130</v>
      </c>
      <c r="F23" s="178">
        <v>278129.29560000001</v>
      </c>
      <c r="G23" s="179">
        <v>0.43584000000000001</v>
      </c>
      <c r="H23" s="179">
        <v>0</v>
      </c>
      <c r="I23" s="179">
        <v>0</v>
      </c>
      <c r="K23" s="177"/>
      <c r="M23" s="180"/>
      <c r="N23" s="180"/>
      <c r="O23" s="180"/>
      <c r="P23" s="181"/>
      <c r="Q23" s="181"/>
      <c r="R23" s="181"/>
    </row>
    <row r="24" spans="2:18" x14ac:dyDescent="0.4">
      <c r="B24" s="177">
        <v>37529</v>
      </c>
      <c r="D24" s="178">
        <v>667438.81180000002</v>
      </c>
      <c r="E24" s="178">
        <v>614438</v>
      </c>
      <c r="F24" s="178">
        <v>442930.84</v>
      </c>
      <c r="G24" s="179">
        <v>0.66363000000000005</v>
      </c>
      <c r="H24" s="179">
        <v>0.22198000000000001</v>
      </c>
      <c r="I24" s="179">
        <v>3.499E-2</v>
      </c>
      <c r="K24" s="177"/>
      <c r="M24" s="180"/>
      <c r="N24" s="180"/>
      <c r="O24" s="180"/>
      <c r="P24" s="181"/>
      <c r="Q24" s="181"/>
      <c r="R24" s="181"/>
    </row>
    <row r="25" spans="2:18" x14ac:dyDescent="0.4">
      <c r="B25" s="177">
        <v>37894</v>
      </c>
      <c r="D25" s="178">
        <v>754359.71420000005</v>
      </c>
      <c r="E25" s="178">
        <v>307125</v>
      </c>
      <c r="F25" s="178">
        <v>307125.26779999997</v>
      </c>
      <c r="G25" s="179">
        <v>0.40712999999999999</v>
      </c>
      <c r="H25" s="179">
        <v>0</v>
      </c>
      <c r="I25" s="179">
        <v>0</v>
      </c>
      <c r="K25" s="177"/>
      <c r="M25" s="180"/>
      <c r="N25" s="180"/>
      <c r="O25" s="180"/>
      <c r="P25" s="181"/>
      <c r="Q25" s="181"/>
      <c r="R25" s="181"/>
    </row>
    <row r="26" spans="2:18" x14ac:dyDescent="0.4">
      <c r="B26" s="177">
        <v>38260</v>
      </c>
      <c r="D26" s="178">
        <v>805998.24300000002</v>
      </c>
      <c r="E26" s="178">
        <v>308788</v>
      </c>
      <c r="F26" s="178">
        <v>281063.34129999997</v>
      </c>
      <c r="G26" s="179">
        <v>0.34871000000000002</v>
      </c>
      <c r="H26" s="179">
        <v>3.3709999999999997E-2</v>
      </c>
      <c r="I26" s="179">
        <v>6.8999999999999997E-4</v>
      </c>
      <c r="K26" s="177"/>
      <c r="M26" s="180"/>
      <c r="N26" s="180"/>
      <c r="O26" s="180"/>
      <c r="P26" s="181"/>
      <c r="Q26" s="181"/>
      <c r="R26" s="181"/>
    </row>
    <row r="27" spans="2:18" x14ac:dyDescent="0.4">
      <c r="B27" s="177">
        <v>38625</v>
      </c>
      <c r="D27" s="178">
        <v>852477.66350000002</v>
      </c>
      <c r="E27" s="178">
        <v>124173</v>
      </c>
      <c r="F27" s="178">
        <v>124172.5463</v>
      </c>
      <c r="G27" s="179">
        <v>0.14566000000000001</v>
      </c>
      <c r="H27" s="179">
        <v>0</v>
      </c>
      <c r="I27" s="179">
        <v>0</v>
      </c>
      <c r="K27" s="177"/>
      <c r="M27" s="180"/>
      <c r="N27" s="180"/>
      <c r="O27" s="180"/>
      <c r="P27" s="181"/>
      <c r="Q27" s="181"/>
      <c r="R27" s="181"/>
    </row>
    <row r="28" spans="2:18" x14ac:dyDescent="0.4">
      <c r="B28" s="177">
        <v>38990</v>
      </c>
      <c r="D28" s="178">
        <v>864507.59129999997</v>
      </c>
      <c r="E28" s="178">
        <v>306611</v>
      </c>
      <c r="F28" s="178">
        <v>306610.25589999999</v>
      </c>
      <c r="G28" s="179">
        <v>0.35465999999999998</v>
      </c>
      <c r="H28" s="179">
        <v>0</v>
      </c>
      <c r="I28" s="179">
        <v>0</v>
      </c>
      <c r="K28" s="177"/>
      <c r="M28" s="180"/>
      <c r="N28" s="180"/>
      <c r="O28" s="180"/>
      <c r="P28" s="181"/>
      <c r="Q28" s="181"/>
      <c r="R28" s="181"/>
    </row>
    <row r="29" spans="2:18" x14ac:dyDescent="0.4">
      <c r="B29" s="177">
        <v>39355</v>
      </c>
      <c r="D29" s="178">
        <v>864988.61340000003</v>
      </c>
      <c r="E29" s="178">
        <v>380477</v>
      </c>
      <c r="F29" s="178">
        <v>343137.65590000001</v>
      </c>
      <c r="G29" s="179">
        <v>0.3967</v>
      </c>
      <c r="H29" s="179">
        <v>4.2079999999999999E-2</v>
      </c>
      <c r="I29" s="179">
        <v>1.08E-3</v>
      </c>
      <c r="K29" s="177"/>
      <c r="M29" s="180"/>
      <c r="N29" s="180"/>
      <c r="O29" s="180"/>
      <c r="P29" s="181"/>
      <c r="Q29" s="181"/>
      <c r="R29" s="181"/>
    </row>
    <row r="30" spans="2:18" x14ac:dyDescent="0.4">
      <c r="B30" s="177">
        <v>39721</v>
      </c>
      <c r="D30" s="178">
        <v>918730.62199999997</v>
      </c>
      <c r="E30" s="178">
        <v>1125934</v>
      </c>
      <c r="F30" s="178">
        <v>404656.41989999998</v>
      </c>
      <c r="G30" s="179">
        <v>0.44045000000000001</v>
      </c>
      <c r="H30" s="179">
        <v>0.53337000000000001</v>
      </c>
      <c r="I30" s="179">
        <v>0.25170999999999999</v>
      </c>
      <c r="K30" s="177"/>
      <c r="M30" s="180"/>
      <c r="N30" s="180"/>
      <c r="O30" s="180"/>
      <c r="P30" s="181"/>
      <c r="Q30" s="181"/>
      <c r="R30" s="181"/>
    </row>
    <row r="31" spans="2:18" x14ac:dyDescent="0.4">
      <c r="B31" s="177">
        <v>40086</v>
      </c>
      <c r="D31" s="178">
        <v>984157.14610000001</v>
      </c>
      <c r="E31" s="178">
        <v>543431</v>
      </c>
      <c r="F31" s="178">
        <v>543430.28780000005</v>
      </c>
      <c r="G31" s="179">
        <v>0.55218</v>
      </c>
      <c r="H31" s="179">
        <v>0</v>
      </c>
      <c r="I31" s="179">
        <v>0</v>
      </c>
      <c r="K31" s="177"/>
      <c r="M31" s="180"/>
      <c r="N31" s="180"/>
      <c r="O31" s="180"/>
      <c r="P31" s="181"/>
      <c r="Q31" s="181"/>
      <c r="R31" s="181"/>
    </row>
    <row r="32" spans="2:18" x14ac:dyDescent="0.4">
      <c r="B32" s="177">
        <v>40451</v>
      </c>
      <c r="D32" s="178">
        <v>1010834.023</v>
      </c>
      <c r="E32" s="178">
        <v>581913</v>
      </c>
      <c r="F32" s="178">
        <v>575750.85120000003</v>
      </c>
      <c r="G32" s="179">
        <v>0.56957999999999998</v>
      </c>
      <c r="H32" s="179">
        <v>6.0699999999999999E-3</v>
      </c>
      <c r="I32" s="179">
        <v>0</v>
      </c>
      <c r="K32" s="177"/>
      <c r="M32" s="180"/>
      <c r="N32" s="180"/>
      <c r="O32" s="180"/>
      <c r="P32" s="181"/>
      <c r="Q32" s="181"/>
      <c r="R32" s="181"/>
    </row>
    <row r="33" spans="2:18" x14ac:dyDescent="0.4">
      <c r="B33" s="177">
        <v>40816</v>
      </c>
      <c r="D33" s="178">
        <v>1006853.232</v>
      </c>
      <c r="E33" s="178">
        <v>539675</v>
      </c>
      <c r="F33" s="178">
        <v>395186.8481</v>
      </c>
      <c r="G33" s="179">
        <v>0.39250000000000002</v>
      </c>
      <c r="H33" s="179">
        <v>0.1318</v>
      </c>
      <c r="I33" s="179">
        <v>1.17E-2</v>
      </c>
      <c r="K33" s="177"/>
      <c r="M33" s="180"/>
      <c r="N33" s="180"/>
      <c r="O33" s="180"/>
      <c r="P33" s="181"/>
      <c r="Q33" s="181"/>
      <c r="R33" s="181"/>
    </row>
    <row r="34" spans="2:18" x14ac:dyDescent="0.4">
      <c r="B34" s="177">
        <v>41182</v>
      </c>
      <c r="D34" s="178">
        <v>969122.7206</v>
      </c>
      <c r="E34" s="178">
        <v>566636</v>
      </c>
      <c r="F34" s="178">
        <v>566635.39580000006</v>
      </c>
      <c r="G34" s="179">
        <v>0.58469000000000004</v>
      </c>
      <c r="H34" s="179">
        <v>0</v>
      </c>
      <c r="I34" s="179">
        <v>0</v>
      </c>
      <c r="K34" s="177"/>
      <c r="M34" s="180"/>
      <c r="N34" s="180"/>
      <c r="O34" s="180"/>
      <c r="P34" s="181"/>
      <c r="Q34" s="181"/>
      <c r="R34" s="181"/>
    </row>
    <row r="35" spans="2:18" x14ac:dyDescent="0.4">
      <c r="B35" s="177">
        <v>41547</v>
      </c>
      <c r="D35" s="178">
        <v>1056074.139</v>
      </c>
      <c r="E35" s="178">
        <v>360207</v>
      </c>
      <c r="F35" s="178">
        <v>360207.734</v>
      </c>
      <c r="G35" s="179">
        <v>0.34107999999999999</v>
      </c>
      <c r="H35" s="179">
        <v>0</v>
      </c>
      <c r="I35" s="179">
        <v>0</v>
      </c>
      <c r="K35" s="177"/>
      <c r="M35" s="180"/>
      <c r="N35" s="180"/>
      <c r="O35" s="180"/>
      <c r="P35" s="181"/>
      <c r="Q35" s="181"/>
      <c r="R35" s="181"/>
    </row>
    <row r="36" spans="2:18" x14ac:dyDescent="0.4">
      <c r="B36" s="177">
        <v>41912</v>
      </c>
      <c r="D36" s="178">
        <v>1134453.3149999999</v>
      </c>
      <c r="E36" s="178">
        <v>554482</v>
      </c>
      <c r="F36" s="178">
        <v>487469.37319999997</v>
      </c>
      <c r="G36" s="179">
        <v>0.42970000000000003</v>
      </c>
      <c r="H36" s="179">
        <v>5.7020000000000001E-2</v>
      </c>
      <c r="I36" s="179">
        <v>2.0500000000000002E-3</v>
      </c>
      <c r="K36" s="177"/>
      <c r="M36" s="180"/>
      <c r="N36" s="180"/>
      <c r="O36" s="180"/>
      <c r="P36" s="181"/>
      <c r="Q36" s="181"/>
      <c r="R36" s="181"/>
    </row>
    <row r="37" spans="2:18" x14ac:dyDescent="0.4">
      <c r="B37" s="177">
        <v>42277</v>
      </c>
      <c r="D37" s="178">
        <v>1139546.3940000001</v>
      </c>
      <c r="E37" s="178">
        <v>601579</v>
      </c>
      <c r="F37" s="178">
        <v>593330.01300000004</v>
      </c>
      <c r="G37" s="179">
        <v>0.52066999999999997</v>
      </c>
      <c r="H37" s="179">
        <v>7.2199999999999999E-3</v>
      </c>
      <c r="I37" s="179">
        <v>0</v>
      </c>
      <c r="K37" s="177"/>
      <c r="M37" s="180"/>
      <c r="N37" s="180"/>
      <c r="O37" s="180"/>
      <c r="P37" s="181"/>
      <c r="Q37" s="181"/>
      <c r="R37" s="181"/>
    </row>
    <row r="38" spans="2:18" x14ac:dyDescent="0.4">
      <c r="B38" s="177">
        <v>42643</v>
      </c>
      <c r="D38" s="178">
        <v>1136698.017</v>
      </c>
      <c r="E38" s="178">
        <v>551748</v>
      </c>
      <c r="F38" s="178">
        <v>551747.69940000004</v>
      </c>
      <c r="G38" s="179">
        <v>0.4854</v>
      </c>
      <c r="H38" s="179">
        <v>0</v>
      </c>
      <c r="I38" s="179">
        <v>0</v>
      </c>
      <c r="K38" s="177"/>
      <c r="M38" s="180"/>
      <c r="N38" s="180"/>
      <c r="O38" s="180"/>
      <c r="P38" s="181"/>
      <c r="Q38" s="181"/>
      <c r="R38" s="181"/>
    </row>
    <row r="39" spans="2:18" x14ac:dyDescent="0.4">
      <c r="B39" s="177">
        <v>43008</v>
      </c>
      <c r="D39" s="178">
        <v>1146355.5819999999</v>
      </c>
      <c r="E39" s="178">
        <v>836355</v>
      </c>
      <c r="F39" s="178">
        <v>689886.054</v>
      </c>
      <c r="G39" s="179">
        <v>0.60180999999999996</v>
      </c>
      <c r="H39" s="179">
        <v>0.12207999999999999</v>
      </c>
      <c r="I39" s="179">
        <v>5.6899999999999997E-3</v>
      </c>
      <c r="K39" s="177"/>
      <c r="M39" s="180"/>
      <c r="N39" s="180"/>
      <c r="O39" s="180"/>
      <c r="P39" s="181"/>
      <c r="Q39" s="181"/>
      <c r="R39" s="181"/>
    </row>
    <row r="40" spans="2:18" x14ac:dyDescent="0.4">
      <c r="B40" s="177">
        <v>43373</v>
      </c>
      <c r="D40" s="178">
        <v>1179483.5049999999</v>
      </c>
      <c r="E40" s="178">
        <v>266051</v>
      </c>
      <c r="F40" s="178">
        <v>266050.61589999998</v>
      </c>
      <c r="G40" s="179">
        <v>0.22556999999999999</v>
      </c>
      <c r="H40" s="179">
        <v>0</v>
      </c>
      <c r="I40" s="179">
        <v>0</v>
      </c>
      <c r="K40" s="177"/>
      <c r="M40" s="180"/>
      <c r="N40" s="180"/>
      <c r="O40" s="180"/>
      <c r="P40" s="181"/>
      <c r="Q40" s="181"/>
      <c r="R40" s="181"/>
    </row>
    <row r="41" spans="2:18" x14ac:dyDescent="0.4">
      <c r="B41" s="177">
        <v>43738</v>
      </c>
      <c r="D41" s="178">
        <v>1256509.2180000001</v>
      </c>
      <c r="E41" s="178">
        <v>621623</v>
      </c>
      <c r="F41" s="178">
        <v>621622.50730000006</v>
      </c>
      <c r="G41" s="179">
        <v>0.49471999999999999</v>
      </c>
      <c r="H41" s="179">
        <v>0</v>
      </c>
      <c r="I41" s="179">
        <v>0</v>
      </c>
      <c r="K41" s="177"/>
      <c r="M41" s="180"/>
      <c r="N41" s="180"/>
      <c r="O41" s="180"/>
      <c r="P41" s="181"/>
      <c r="Q41" s="181"/>
      <c r="R41" s="181"/>
    </row>
    <row r="42" spans="2:18" x14ac:dyDescent="0.4">
      <c r="B42" s="177">
        <v>44104</v>
      </c>
      <c r="D42" s="178">
        <v>1399398.79</v>
      </c>
      <c r="E42" s="178">
        <v>1530009</v>
      </c>
      <c r="F42" s="178">
        <v>804544.23140000005</v>
      </c>
      <c r="G42" s="179">
        <v>0.57491999999999999</v>
      </c>
      <c r="H42" s="179">
        <v>0.41265000000000002</v>
      </c>
      <c r="I42" s="179">
        <v>0.10576000000000001</v>
      </c>
      <c r="K42" s="177"/>
    </row>
    <row r="43" spans="2:18" x14ac:dyDescent="0.4">
      <c r="B43" s="177"/>
      <c r="L43" s="182"/>
      <c r="P43" s="73"/>
      <c r="Q43" s="73"/>
      <c r="R43" s="73"/>
    </row>
    <row r="44" spans="2:18" x14ac:dyDescent="0.4">
      <c r="C44" s="182" t="s">
        <v>456</v>
      </c>
      <c r="G44" s="73">
        <f>SUM(G12:G43)</f>
        <v>14.961410000000001</v>
      </c>
      <c r="H44" s="73">
        <f>SUM(H12:H43)</f>
        <v>3.7141500000000001</v>
      </c>
      <c r="I44" s="73">
        <f>SUM(I12:I43)</f>
        <v>1.3223800000000001</v>
      </c>
    </row>
    <row r="45" spans="2:18" x14ac:dyDescent="0.4">
      <c r="B45" s="177"/>
    </row>
    <row r="46" spans="2:18" x14ac:dyDescent="0.4">
      <c r="C46" s="183" t="s">
        <v>457</v>
      </c>
      <c r="G46" s="90"/>
      <c r="H46" s="73">
        <f>ROUND(H44/G44,3)</f>
        <v>0.248</v>
      </c>
    </row>
    <row r="47" spans="2:18" x14ac:dyDescent="0.4">
      <c r="C47" s="177"/>
      <c r="H47" s="42"/>
    </row>
    <row r="48" spans="2:18" x14ac:dyDescent="0.4">
      <c r="C48" s="183" t="s">
        <v>458</v>
      </c>
      <c r="G48" s="90"/>
      <c r="H48" s="184">
        <v>0.30142000000000002</v>
      </c>
      <c r="I48" s="75"/>
    </row>
    <row r="49" spans="2:8" x14ac:dyDescent="0.4">
      <c r="C49" s="177"/>
      <c r="H49" s="42"/>
    </row>
    <row r="50" spans="2:8" x14ac:dyDescent="0.4">
      <c r="C50" s="183" t="s">
        <v>459</v>
      </c>
      <c r="G50" s="90"/>
      <c r="H50" s="73">
        <f>ROUND((1+H46)*(1+H48),3)</f>
        <v>1.6240000000000001</v>
      </c>
    </row>
    <row r="52" spans="2:8" x14ac:dyDescent="0.4">
      <c r="B52" s="61"/>
    </row>
    <row r="53" spans="2:8" x14ac:dyDescent="0.4">
      <c r="B53" s="61"/>
    </row>
    <row r="54" spans="2:8" x14ac:dyDescent="0.4">
      <c r="B54" s="61"/>
    </row>
    <row r="55" spans="2:8" x14ac:dyDescent="0.4">
      <c r="B55" s="61"/>
    </row>
  </sheetData>
  <mergeCells count="6">
    <mergeCell ref="B6:I6"/>
    <mergeCell ref="B1:I1"/>
    <mergeCell ref="B2:I2"/>
    <mergeCell ref="B3:I3"/>
    <mergeCell ref="B4:I4"/>
    <mergeCell ref="B5:I5"/>
  </mergeCells>
  <printOptions horizontalCentered="1"/>
  <pageMargins left="0.25" right="0.25" top="0.75" bottom="0.75" header="0.3" footer="0.3"/>
  <pageSetup scale="93" firstPageNumber="0" orientation="portrait" useFirstPageNumber="1" r:id="rId1"/>
  <headerFooter>
    <oddHeader>&amp;L&amp;"Times New Roman"&amp;9INSURANCE SERVICES OFFICE, INC.</oddHeader>
    <oddFooter>&amp;C&amp;"Times New Roman"&amp;9© Insurance Services Office, Inc., 2022        		OREGON        BP-2021-RLA1&amp;R&amp;"Times New Roman"&amp;9&amp;A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06661-9172-4E84-BA97-D6B440EBE8AC}">
  <sheetPr>
    <pageSetUpPr fitToPage="1"/>
  </sheetPr>
  <dimension ref="A1:J48"/>
  <sheetViews>
    <sheetView zoomScale="90" zoomScaleNormal="90" workbookViewId="0"/>
  </sheetViews>
  <sheetFormatPr defaultRowHeight="13.15" x14ac:dyDescent="0.4"/>
  <cols>
    <col min="1" max="1" width="9.06640625" style="42"/>
    <col min="2" max="2" width="9.06640625" style="2"/>
    <col min="3" max="3" width="4" style="2" customWidth="1"/>
    <col min="4" max="4" width="12.86328125" style="2" bestFit="1" customWidth="1"/>
    <col min="5" max="5" width="14" style="2" bestFit="1" customWidth="1"/>
    <col min="6" max="6" width="12.86328125" style="2" bestFit="1" customWidth="1"/>
    <col min="7" max="7" width="10.86328125" style="2" customWidth="1"/>
    <col min="8" max="8" width="10.3984375" style="2" customWidth="1"/>
    <col min="9" max="9" width="11" style="2" customWidth="1"/>
    <col min="10" max="258" width="9.06640625" style="2"/>
    <col min="259" max="259" width="4" style="2" customWidth="1"/>
    <col min="260" max="260" width="12.86328125" style="2" bestFit="1" customWidth="1"/>
    <col min="261" max="261" width="14" style="2" bestFit="1" customWidth="1"/>
    <col min="262" max="262" width="12.86328125" style="2" bestFit="1" customWidth="1"/>
    <col min="263" max="263" width="10.86328125" style="2" customWidth="1"/>
    <col min="264" max="264" width="10.3984375" style="2" customWidth="1"/>
    <col min="265" max="265" width="11" style="2" customWidth="1"/>
    <col min="266" max="514" width="9.06640625" style="2"/>
    <col min="515" max="515" width="4" style="2" customWidth="1"/>
    <col min="516" max="516" width="12.86328125" style="2" bestFit="1" customWidth="1"/>
    <col min="517" max="517" width="14" style="2" bestFit="1" customWidth="1"/>
    <col min="518" max="518" width="12.86328125" style="2" bestFit="1" customWidth="1"/>
    <col min="519" max="519" width="10.86328125" style="2" customWidth="1"/>
    <col min="520" max="520" width="10.3984375" style="2" customWidth="1"/>
    <col min="521" max="521" width="11" style="2" customWidth="1"/>
    <col min="522" max="770" width="9.06640625" style="2"/>
    <col min="771" max="771" width="4" style="2" customWidth="1"/>
    <col min="772" max="772" width="12.86328125" style="2" bestFit="1" customWidth="1"/>
    <col min="773" max="773" width="14" style="2" bestFit="1" customWidth="1"/>
    <col min="774" max="774" width="12.86328125" style="2" bestFit="1" customWidth="1"/>
    <col min="775" max="775" width="10.86328125" style="2" customWidth="1"/>
    <col min="776" max="776" width="10.3984375" style="2" customWidth="1"/>
    <col min="777" max="777" width="11" style="2" customWidth="1"/>
    <col min="778" max="1026" width="9.06640625" style="2"/>
    <col min="1027" max="1027" width="4" style="2" customWidth="1"/>
    <col min="1028" max="1028" width="12.86328125" style="2" bestFit="1" customWidth="1"/>
    <col min="1029" max="1029" width="14" style="2" bestFit="1" customWidth="1"/>
    <col min="1030" max="1030" width="12.86328125" style="2" bestFit="1" customWidth="1"/>
    <col min="1031" max="1031" width="10.86328125" style="2" customWidth="1"/>
    <col min="1032" max="1032" width="10.3984375" style="2" customWidth="1"/>
    <col min="1033" max="1033" width="11" style="2" customWidth="1"/>
    <col min="1034" max="1282" width="9.06640625" style="2"/>
    <col min="1283" max="1283" width="4" style="2" customWidth="1"/>
    <col min="1284" max="1284" width="12.86328125" style="2" bestFit="1" customWidth="1"/>
    <col min="1285" max="1285" width="14" style="2" bestFit="1" customWidth="1"/>
    <col min="1286" max="1286" width="12.86328125" style="2" bestFit="1" customWidth="1"/>
    <col min="1287" max="1287" width="10.86328125" style="2" customWidth="1"/>
    <col min="1288" max="1288" width="10.3984375" style="2" customWidth="1"/>
    <col min="1289" max="1289" width="11" style="2" customWidth="1"/>
    <col min="1290" max="1538" width="9.06640625" style="2"/>
    <col min="1539" max="1539" width="4" style="2" customWidth="1"/>
    <col min="1540" max="1540" width="12.86328125" style="2" bestFit="1" customWidth="1"/>
    <col min="1541" max="1541" width="14" style="2" bestFit="1" customWidth="1"/>
    <col min="1542" max="1542" width="12.86328125" style="2" bestFit="1" customWidth="1"/>
    <col min="1543" max="1543" width="10.86328125" style="2" customWidth="1"/>
    <col min="1544" max="1544" width="10.3984375" style="2" customWidth="1"/>
    <col min="1545" max="1545" width="11" style="2" customWidth="1"/>
    <col min="1546" max="1794" width="9.06640625" style="2"/>
    <col min="1795" max="1795" width="4" style="2" customWidth="1"/>
    <col min="1796" max="1796" width="12.86328125" style="2" bestFit="1" customWidth="1"/>
    <col min="1797" max="1797" width="14" style="2" bestFit="1" customWidth="1"/>
    <col min="1798" max="1798" width="12.86328125" style="2" bestFit="1" customWidth="1"/>
    <col min="1799" max="1799" width="10.86328125" style="2" customWidth="1"/>
    <col min="1800" max="1800" width="10.3984375" style="2" customWidth="1"/>
    <col min="1801" max="1801" width="11" style="2" customWidth="1"/>
    <col min="1802" max="2050" width="9.06640625" style="2"/>
    <col min="2051" max="2051" width="4" style="2" customWidth="1"/>
    <col min="2052" max="2052" width="12.86328125" style="2" bestFit="1" customWidth="1"/>
    <col min="2053" max="2053" width="14" style="2" bestFit="1" customWidth="1"/>
    <col min="2054" max="2054" width="12.86328125" style="2" bestFit="1" customWidth="1"/>
    <col min="2055" max="2055" width="10.86328125" style="2" customWidth="1"/>
    <col min="2056" max="2056" width="10.3984375" style="2" customWidth="1"/>
    <col min="2057" max="2057" width="11" style="2" customWidth="1"/>
    <col min="2058" max="2306" width="9.06640625" style="2"/>
    <col min="2307" max="2307" width="4" style="2" customWidth="1"/>
    <col min="2308" max="2308" width="12.86328125" style="2" bestFit="1" customWidth="1"/>
    <col min="2309" max="2309" width="14" style="2" bestFit="1" customWidth="1"/>
    <col min="2310" max="2310" width="12.86328125" style="2" bestFit="1" customWidth="1"/>
    <col min="2311" max="2311" width="10.86328125" style="2" customWidth="1"/>
    <col min="2312" max="2312" width="10.3984375" style="2" customWidth="1"/>
    <col min="2313" max="2313" width="11" style="2" customWidth="1"/>
    <col min="2314" max="2562" width="9.06640625" style="2"/>
    <col min="2563" max="2563" width="4" style="2" customWidth="1"/>
    <col min="2564" max="2564" width="12.86328125" style="2" bestFit="1" customWidth="1"/>
    <col min="2565" max="2565" width="14" style="2" bestFit="1" customWidth="1"/>
    <col min="2566" max="2566" width="12.86328125" style="2" bestFit="1" customWidth="1"/>
    <col min="2567" max="2567" width="10.86328125" style="2" customWidth="1"/>
    <col min="2568" max="2568" width="10.3984375" style="2" customWidth="1"/>
    <col min="2569" max="2569" width="11" style="2" customWidth="1"/>
    <col min="2570" max="2818" width="9.06640625" style="2"/>
    <col min="2819" max="2819" width="4" style="2" customWidth="1"/>
    <col min="2820" max="2820" width="12.86328125" style="2" bestFit="1" customWidth="1"/>
    <col min="2821" max="2821" width="14" style="2" bestFit="1" customWidth="1"/>
    <col min="2822" max="2822" width="12.86328125" style="2" bestFit="1" customWidth="1"/>
    <col min="2823" max="2823" width="10.86328125" style="2" customWidth="1"/>
    <col min="2824" max="2824" width="10.3984375" style="2" customWidth="1"/>
    <col min="2825" max="2825" width="11" style="2" customWidth="1"/>
    <col min="2826" max="3074" width="9.06640625" style="2"/>
    <col min="3075" max="3075" width="4" style="2" customWidth="1"/>
    <col min="3076" max="3076" width="12.86328125" style="2" bestFit="1" customWidth="1"/>
    <col min="3077" max="3077" width="14" style="2" bestFit="1" customWidth="1"/>
    <col min="3078" max="3078" width="12.86328125" style="2" bestFit="1" customWidth="1"/>
    <col min="3079" max="3079" width="10.86328125" style="2" customWidth="1"/>
    <col min="3080" max="3080" width="10.3984375" style="2" customWidth="1"/>
    <col min="3081" max="3081" width="11" style="2" customWidth="1"/>
    <col min="3082" max="3330" width="9.06640625" style="2"/>
    <col min="3331" max="3331" width="4" style="2" customWidth="1"/>
    <col min="3332" max="3332" width="12.86328125" style="2" bestFit="1" customWidth="1"/>
    <col min="3333" max="3333" width="14" style="2" bestFit="1" customWidth="1"/>
    <col min="3334" max="3334" width="12.86328125" style="2" bestFit="1" customWidth="1"/>
    <col min="3335" max="3335" width="10.86328125" style="2" customWidth="1"/>
    <col min="3336" max="3336" width="10.3984375" style="2" customWidth="1"/>
    <col min="3337" max="3337" width="11" style="2" customWidth="1"/>
    <col min="3338" max="3586" width="9.06640625" style="2"/>
    <col min="3587" max="3587" width="4" style="2" customWidth="1"/>
    <col min="3588" max="3588" width="12.86328125" style="2" bestFit="1" customWidth="1"/>
    <col min="3589" max="3589" width="14" style="2" bestFit="1" customWidth="1"/>
    <col min="3590" max="3590" width="12.86328125" style="2" bestFit="1" customWidth="1"/>
    <col min="3591" max="3591" width="10.86328125" style="2" customWidth="1"/>
    <col min="3592" max="3592" width="10.3984375" style="2" customWidth="1"/>
    <col min="3593" max="3593" width="11" style="2" customWidth="1"/>
    <col min="3594" max="3842" width="9.06640625" style="2"/>
    <col min="3843" max="3843" width="4" style="2" customWidth="1"/>
    <col min="3844" max="3844" width="12.86328125" style="2" bestFit="1" customWidth="1"/>
    <col min="3845" max="3845" width="14" style="2" bestFit="1" customWidth="1"/>
    <col min="3846" max="3846" width="12.86328125" style="2" bestFit="1" customWidth="1"/>
    <col min="3847" max="3847" width="10.86328125" style="2" customWidth="1"/>
    <col min="3848" max="3848" width="10.3984375" style="2" customWidth="1"/>
    <col min="3849" max="3849" width="11" style="2" customWidth="1"/>
    <col min="3850" max="4098" width="9.06640625" style="2"/>
    <col min="4099" max="4099" width="4" style="2" customWidth="1"/>
    <col min="4100" max="4100" width="12.86328125" style="2" bestFit="1" customWidth="1"/>
    <col min="4101" max="4101" width="14" style="2" bestFit="1" customWidth="1"/>
    <col min="4102" max="4102" width="12.86328125" style="2" bestFit="1" customWidth="1"/>
    <col min="4103" max="4103" width="10.86328125" style="2" customWidth="1"/>
    <col min="4104" max="4104" width="10.3984375" style="2" customWidth="1"/>
    <col min="4105" max="4105" width="11" style="2" customWidth="1"/>
    <col min="4106" max="4354" width="9.06640625" style="2"/>
    <col min="4355" max="4355" width="4" style="2" customWidth="1"/>
    <col min="4356" max="4356" width="12.86328125" style="2" bestFit="1" customWidth="1"/>
    <col min="4357" max="4357" width="14" style="2" bestFit="1" customWidth="1"/>
    <col min="4358" max="4358" width="12.86328125" style="2" bestFit="1" customWidth="1"/>
    <col min="4359" max="4359" width="10.86328125" style="2" customWidth="1"/>
    <col min="4360" max="4360" width="10.3984375" style="2" customWidth="1"/>
    <col min="4361" max="4361" width="11" style="2" customWidth="1"/>
    <col min="4362" max="4610" width="9.06640625" style="2"/>
    <col min="4611" max="4611" width="4" style="2" customWidth="1"/>
    <col min="4612" max="4612" width="12.86328125" style="2" bestFit="1" customWidth="1"/>
    <col min="4613" max="4613" width="14" style="2" bestFit="1" customWidth="1"/>
    <col min="4614" max="4614" width="12.86328125" style="2" bestFit="1" customWidth="1"/>
    <col min="4615" max="4615" width="10.86328125" style="2" customWidth="1"/>
    <col min="4616" max="4616" width="10.3984375" style="2" customWidth="1"/>
    <col min="4617" max="4617" width="11" style="2" customWidth="1"/>
    <col min="4618" max="4866" width="9.06640625" style="2"/>
    <col min="4867" max="4867" width="4" style="2" customWidth="1"/>
    <col min="4868" max="4868" width="12.86328125" style="2" bestFit="1" customWidth="1"/>
    <col min="4869" max="4869" width="14" style="2" bestFit="1" customWidth="1"/>
    <col min="4870" max="4870" width="12.86328125" style="2" bestFit="1" customWidth="1"/>
    <col min="4871" max="4871" width="10.86328125" style="2" customWidth="1"/>
    <col min="4872" max="4872" width="10.3984375" style="2" customWidth="1"/>
    <col min="4873" max="4873" width="11" style="2" customWidth="1"/>
    <col min="4874" max="5122" width="9.06640625" style="2"/>
    <col min="5123" max="5123" width="4" style="2" customWidth="1"/>
    <col min="5124" max="5124" width="12.86328125" style="2" bestFit="1" customWidth="1"/>
    <col min="5125" max="5125" width="14" style="2" bestFit="1" customWidth="1"/>
    <col min="5126" max="5126" width="12.86328125" style="2" bestFit="1" customWidth="1"/>
    <col min="5127" max="5127" width="10.86328125" style="2" customWidth="1"/>
    <col min="5128" max="5128" width="10.3984375" style="2" customWidth="1"/>
    <col min="5129" max="5129" width="11" style="2" customWidth="1"/>
    <col min="5130" max="5378" width="9.06640625" style="2"/>
    <col min="5379" max="5379" width="4" style="2" customWidth="1"/>
    <col min="5380" max="5380" width="12.86328125" style="2" bestFit="1" customWidth="1"/>
    <col min="5381" max="5381" width="14" style="2" bestFit="1" customWidth="1"/>
    <col min="5382" max="5382" width="12.86328125" style="2" bestFit="1" customWidth="1"/>
    <col min="5383" max="5383" width="10.86328125" style="2" customWidth="1"/>
    <col min="5384" max="5384" width="10.3984375" style="2" customWidth="1"/>
    <col min="5385" max="5385" width="11" style="2" customWidth="1"/>
    <col min="5386" max="5634" width="9.06640625" style="2"/>
    <col min="5635" max="5635" width="4" style="2" customWidth="1"/>
    <col min="5636" max="5636" width="12.86328125" style="2" bestFit="1" customWidth="1"/>
    <col min="5637" max="5637" width="14" style="2" bestFit="1" customWidth="1"/>
    <col min="5638" max="5638" width="12.86328125" style="2" bestFit="1" customWidth="1"/>
    <col min="5639" max="5639" width="10.86328125" style="2" customWidth="1"/>
    <col min="5640" max="5640" width="10.3984375" style="2" customWidth="1"/>
    <col min="5641" max="5641" width="11" style="2" customWidth="1"/>
    <col min="5642" max="5890" width="9.06640625" style="2"/>
    <col min="5891" max="5891" width="4" style="2" customWidth="1"/>
    <col min="5892" max="5892" width="12.86328125" style="2" bestFit="1" customWidth="1"/>
    <col min="5893" max="5893" width="14" style="2" bestFit="1" customWidth="1"/>
    <col min="5894" max="5894" width="12.86328125" style="2" bestFit="1" customWidth="1"/>
    <col min="5895" max="5895" width="10.86328125" style="2" customWidth="1"/>
    <col min="5896" max="5896" width="10.3984375" style="2" customWidth="1"/>
    <col min="5897" max="5897" width="11" style="2" customWidth="1"/>
    <col min="5898" max="6146" width="9.06640625" style="2"/>
    <col min="6147" max="6147" width="4" style="2" customWidth="1"/>
    <col min="6148" max="6148" width="12.86328125" style="2" bestFit="1" customWidth="1"/>
    <col min="6149" max="6149" width="14" style="2" bestFit="1" customWidth="1"/>
    <col min="6150" max="6150" width="12.86328125" style="2" bestFit="1" customWidth="1"/>
    <col min="6151" max="6151" width="10.86328125" style="2" customWidth="1"/>
    <col min="6152" max="6152" width="10.3984375" style="2" customWidth="1"/>
    <col min="6153" max="6153" width="11" style="2" customWidth="1"/>
    <col min="6154" max="6402" width="9.06640625" style="2"/>
    <col min="6403" max="6403" width="4" style="2" customWidth="1"/>
    <col min="6404" max="6404" width="12.86328125" style="2" bestFit="1" customWidth="1"/>
    <col min="6405" max="6405" width="14" style="2" bestFit="1" customWidth="1"/>
    <col min="6406" max="6406" width="12.86328125" style="2" bestFit="1" customWidth="1"/>
    <col min="6407" max="6407" width="10.86328125" style="2" customWidth="1"/>
    <col min="6408" max="6408" width="10.3984375" style="2" customWidth="1"/>
    <col min="6409" max="6409" width="11" style="2" customWidth="1"/>
    <col min="6410" max="6658" width="9.06640625" style="2"/>
    <col min="6659" max="6659" width="4" style="2" customWidth="1"/>
    <col min="6660" max="6660" width="12.86328125" style="2" bestFit="1" customWidth="1"/>
    <col min="6661" max="6661" width="14" style="2" bestFit="1" customWidth="1"/>
    <col min="6662" max="6662" width="12.86328125" style="2" bestFit="1" customWidth="1"/>
    <col min="6663" max="6663" width="10.86328125" style="2" customWidth="1"/>
    <col min="6664" max="6664" width="10.3984375" style="2" customWidth="1"/>
    <col min="6665" max="6665" width="11" style="2" customWidth="1"/>
    <col min="6666" max="6914" width="9.06640625" style="2"/>
    <col min="6915" max="6915" width="4" style="2" customWidth="1"/>
    <col min="6916" max="6916" width="12.86328125" style="2" bestFit="1" customWidth="1"/>
    <col min="6917" max="6917" width="14" style="2" bestFit="1" customWidth="1"/>
    <col min="6918" max="6918" width="12.86328125" style="2" bestFit="1" customWidth="1"/>
    <col min="6919" max="6919" width="10.86328125" style="2" customWidth="1"/>
    <col min="6920" max="6920" width="10.3984375" style="2" customWidth="1"/>
    <col min="6921" max="6921" width="11" style="2" customWidth="1"/>
    <col min="6922" max="7170" width="9.06640625" style="2"/>
    <col min="7171" max="7171" width="4" style="2" customWidth="1"/>
    <col min="7172" max="7172" width="12.86328125" style="2" bestFit="1" customWidth="1"/>
    <col min="7173" max="7173" width="14" style="2" bestFit="1" customWidth="1"/>
    <col min="7174" max="7174" width="12.86328125" style="2" bestFit="1" customWidth="1"/>
    <col min="7175" max="7175" width="10.86328125" style="2" customWidth="1"/>
    <col min="7176" max="7176" width="10.3984375" style="2" customWidth="1"/>
    <col min="7177" max="7177" width="11" style="2" customWidth="1"/>
    <col min="7178" max="7426" width="9.06640625" style="2"/>
    <col min="7427" max="7427" width="4" style="2" customWidth="1"/>
    <col min="7428" max="7428" width="12.86328125" style="2" bestFit="1" customWidth="1"/>
    <col min="7429" max="7429" width="14" style="2" bestFit="1" customWidth="1"/>
    <col min="7430" max="7430" width="12.86328125" style="2" bestFit="1" customWidth="1"/>
    <col min="7431" max="7431" width="10.86328125" style="2" customWidth="1"/>
    <col min="7432" max="7432" width="10.3984375" style="2" customWidth="1"/>
    <col min="7433" max="7433" width="11" style="2" customWidth="1"/>
    <col min="7434" max="7682" width="9.06640625" style="2"/>
    <col min="7683" max="7683" width="4" style="2" customWidth="1"/>
    <col min="7684" max="7684" width="12.86328125" style="2" bestFit="1" customWidth="1"/>
    <col min="7685" max="7685" width="14" style="2" bestFit="1" customWidth="1"/>
    <col min="7686" max="7686" width="12.86328125" style="2" bestFit="1" customWidth="1"/>
    <col min="7687" max="7687" width="10.86328125" style="2" customWidth="1"/>
    <col min="7688" max="7688" width="10.3984375" style="2" customWidth="1"/>
    <col min="7689" max="7689" width="11" style="2" customWidth="1"/>
    <col min="7690" max="7938" width="9.06640625" style="2"/>
    <col min="7939" max="7939" width="4" style="2" customWidth="1"/>
    <col min="7940" max="7940" width="12.86328125" style="2" bestFit="1" customWidth="1"/>
    <col min="7941" max="7941" width="14" style="2" bestFit="1" customWidth="1"/>
    <col min="7942" max="7942" width="12.86328125" style="2" bestFit="1" customWidth="1"/>
    <col min="7943" max="7943" width="10.86328125" style="2" customWidth="1"/>
    <col min="7944" max="7944" width="10.3984375" style="2" customWidth="1"/>
    <col min="7945" max="7945" width="11" style="2" customWidth="1"/>
    <col min="7946" max="8194" width="9.06640625" style="2"/>
    <col min="8195" max="8195" width="4" style="2" customWidth="1"/>
    <col min="8196" max="8196" width="12.86328125" style="2" bestFit="1" customWidth="1"/>
    <col min="8197" max="8197" width="14" style="2" bestFit="1" customWidth="1"/>
    <col min="8198" max="8198" width="12.86328125" style="2" bestFit="1" customWidth="1"/>
    <col min="8199" max="8199" width="10.86328125" style="2" customWidth="1"/>
    <col min="8200" max="8200" width="10.3984375" style="2" customWidth="1"/>
    <col min="8201" max="8201" width="11" style="2" customWidth="1"/>
    <col min="8202" max="8450" width="9.06640625" style="2"/>
    <col min="8451" max="8451" width="4" style="2" customWidth="1"/>
    <col min="8452" max="8452" width="12.86328125" style="2" bestFit="1" customWidth="1"/>
    <col min="8453" max="8453" width="14" style="2" bestFit="1" customWidth="1"/>
    <col min="8454" max="8454" width="12.86328125" style="2" bestFit="1" customWidth="1"/>
    <col min="8455" max="8455" width="10.86328125" style="2" customWidth="1"/>
    <col min="8456" max="8456" width="10.3984375" style="2" customWidth="1"/>
    <col min="8457" max="8457" width="11" style="2" customWidth="1"/>
    <col min="8458" max="8706" width="9.06640625" style="2"/>
    <col min="8707" max="8707" width="4" style="2" customWidth="1"/>
    <col min="8708" max="8708" width="12.86328125" style="2" bestFit="1" customWidth="1"/>
    <col min="8709" max="8709" width="14" style="2" bestFit="1" customWidth="1"/>
    <col min="8710" max="8710" width="12.86328125" style="2" bestFit="1" customWidth="1"/>
    <col min="8711" max="8711" width="10.86328125" style="2" customWidth="1"/>
    <col min="8712" max="8712" width="10.3984375" style="2" customWidth="1"/>
    <col min="8713" max="8713" width="11" style="2" customWidth="1"/>
    <col min="8714" max="8962" width="9.06640625" style="2"/>
    <col min="8963" max="8963" width="4" style="2" customWidth="1"/>
    <col min="8964" max="8964" width="12.86328125" style="2" bestFit="1" customWidth="1"/>
    <col min="8965" max="8965" width="14" style="2" bestFit="1" customWidth="1"/>
    <col min="8966" max="8966" width="12.86328125" style="2" bestFit="1" customWidth="1"/>
    <col min="8967" max="8967" width="10.86328125" style="2" customWidth="1"/>
    <col min="8968" max="8968" width="10.3984375" style="2" customWidth="1"/>
    <col min="8969" max="8969" width="11" style="2" customWidth="1"/>
    <col min="8970" max="9218" width="9.06640625" style="2"/>
    <col min="9219" max="9219" width="4" style="2" customWidth="1"/>
    <col min="9220" max="9220" width="12.86328125" style="2" bestFit="1" customWidth="1"/>
    <col min="9221" max="9221" width="14" style="2" bestFit="1" customWidth="1"/>
    <col min="9222" max="9222" width="12.86328125" style="2" bestFit="1" customWidth="1"/>
    <col min="9223" max="9223" width="10.86328125" style="2" customWidth="1"/>
    <col min="9224" max="9224" width="10.3984375" style="2" customWidth="1"/>
    <col min="9225" max="9225" width="11" style="2" customWidth="1"/>
    <col min="9226" max="9474" width="9.06640625" style="2"/>
    <col min="9475" max="9475" width="4" style="2" customWidth="1"/>
    <col min="9476" max="9476" width="12.86328125" style="2" bestFit="1" customWidth="1"/>
    <col min="9477" max="9477" width="14" style="2" bestFit="1" customWidth="1"/>
    <col min="9478" max="9478" width="12.86328125" style="2" bestFit="1" customWidth="1"/>
    <col min="9479" max="9479" width="10.86328125" style="2" customWidth="1"/>
    <col min="9480" max="9480" width="10.3984375" style="2" customWidth="1"/>
    <col min="9481" max="9481" width="11" style="2" customWidth="1"/>
    <col min="9482" max="9730" width="9.06640625" style="2"/>
    <col min="9731" max="9731" width="4" style="2" customWidth="1"/>
    <col min="9732" max="9732" width="12.86328125" style="2" bestFit="1" customWidth="1"/>
    <col min="9733" max="9733" width="14" style="2" bestFit="1" customWidth="1"/>
    <col min="9734" max="9734" width="12.86328125" style="2" bestFit="1" customWidth="1"/>
    <col min="9735" max="9735" width="10.86328125" style="2" customWidth="1"/>
    <col min="9736" max="9736" width="10.3984375" style="2" customWidth="1"/>
    <col min="9737" max="9737" width="11" style="2" customWidth="1"/>
    <col min="9738" max="9986" width="9.06640625" style="2"/>
    <col min="9987" max="9987" width="4" style="2" customWidth="1"/>
    <col min="9988" max="9988" width="12.86328125" style="2" bestFit="1" customWidth="1"/>
    <col min="9989" max="9989" width="14" style="2" bestFit="1" customWidth="1"/>
    <col min="9990" max="9990" width="12.86328125" style="2" bestFit="1" customWidth="1"/>
    <col min="9991" max="9991" width="10.86328125" style="2" customWidth="1"/>
    <col min="9992" max="9992" width="10.3984375" style="2" customWidth="1"/>
    <col min="9993" max="9993" width="11" style="2" customWidth="1"/>
    <col min="9994" max="10242" width="9.06640625" style="2"/>
    <col min="10243" max="10243" width="4" style="2" customWidth="1"/>
    <col min="10244" max="10244" width="12.86328125" style="2" bestFit="1" customWidth="1"/>
    <col min="10245" max="10245" width="14" style="2" bestFit="1" customWidth="1"/>
    <col min="10246" max="10246" width="12.86328125" style="2" bestFit="1" customWidth="1"/>
    <col min="10247" max="10247" width="10.86328125" style="2" customWidth="1"/>
    <col min="10248" max="10248" width="10.3984375" style="2" customWidth="1"/>
    <col min="10249" max="10249" width="11" style="2" customWidth="1"/>
    <col min="10250" max="10498" width="9.06640625" style="2"/>
    <col min="10499" max="10499" width="4" style="2" customWidth="1"/>
    <col min="10500" max="10500" width="12.86328125" style="2" bestFit="1" customWidth="1"/>
    <col min="10501" max="10501" width="14" style="2" bestFit="1" customWidth="1"/>
    <col min="10502" max="10502" width="12.86328125" style="2" bestFit="1" customWidth="1"/>
    <col min="10503" max="10503" width="10.86328125" style="2" customWidth="1"/>
    <col min="10504" max="10504" width="10.3984375" style="2" customWidth="1"/>
    <col min="10505" max="10505" width="11" style="2" customWidth="1"/>
    <col min="10506" max="10754" width="9.06640625" style="2"/>
    <col min="10755" max="10755" width="4" style="2" customWidth="1"/>
    <col min="10756" max="10756" width="12.86328125" style="2" bestFit="1" customWidth="1"/>
    <col min="10757" max="10757" width="14" style="2" bestFit="1" customWidth="1"/>
    <col min="10758" max="10758" width="12.86328125" style="2" bestFit="1" customWidth="1"/>
    <col min="10759" max="10759" width="10.86328125" style="2" customWidth="1"/>
    <col min="10760" max="10760" width="10.3984375" style="2" customWidth="1"/>
    <col min="10761" max="10761" width="11" style="2" customWidth="1"/>
    <col min="10762" max="11010" width="9.06640625" style="2"/>
    <col min="11011" max="11011" width="4" style="2" customWidth="1"/>
    <col min="11012" max="11012" width="12.86328125" style="2" bestFit="1" customWidth="1"/>
    <col min="11013" max="11013" width="14" style="2" bestFit="1" customWidth="1"/>
    <col min="11014" max="11014" width="12.86328125" style="2" bestFit="1" customWidth="1"/>
    <col min="11015" max="11015" width="10.86328125" style="2" customWidth="1"/>
    <col min="11016" max="11016" width="10.3984375" style="2" customWidth="1"/>
    <col min="11017" max="11017" width="11" style="2" customWidth="1"/>
    <col min="11018" max="11266" width="9.06640625" style="2"/>
    <col min="11267" max="11267" width="4" style="2" customWidth="1"/>
    <col min="11268" max="11268" width="12.86328125" style="2" bestFit="1" customWidth="1"/>
    <col min="11269" max="11269" width="14" style="2" bestFit="1" customWidth="1"/>
    <col min="11270" max="11270" width="12.86328125" style="2" bestFit="1" customWidth="1"/>
    <col min="11271" max="11271" width="10.86328125" style="2" customWidth="1"/>
    <col min="11272" max="11272" width="10.3984375" style="2" customWidth="1"/>
    <col min="11273" max="11273" width="11" style="2" customWidth="1"/>
    <col min="11274" max="11522" width="9.06640625" style="2"/>
    <col min="11523" max="11523" width="4" style="2" customWidth="1"/>
    <col min="11524" max="11524" width="12.86328125" style="2" bestFit="1" customWidth="1"/>
    <col min="11525" max="11525" width="14" style="2" bestFit="1" customWidth="1"/>
    <col min="11526" max="11526" width="12.86328125" style="2" bestFit="1" customWidth="1"/>
    <col min="11527" max="11527" width="10.86328125" style="2" customWidth="1"/>
    <col min="11528" max="11528" width="10.3984375" style="2" customWidth="1"/>
    <col min="11529" max="11529" width="11" style="2" customWidth="1"/>
    <col min="11530" max="11778" width="9.06640625" style="2"/>
    <col min="11779" max="11779" width="4" style="2" customWidth="1"/>
    <col min="11780" max="11780" width="12.86328125" style="2" bestFit="1" customWidth="1"/>
    <col min="11781" max="11781" width="14" style="2" bestFit="1" customWidth="1"/>
    <col min="11782" max="11782" width="12.86328125" style="2" bestFit="1" customWidth="1"/>
    <col min="11783" max="11783" width="10.86328125" style="2" customWidth="1"/>
    <col min="11784" max="11784" width="10.3984375" style="2" customWidth="1"/>
    <col min="11785" max="11785" width="11" style="2" customWidth="1"/>
    <col min="11786" max="12034" width="9.06640625" style="2"/>
    <col min="12035" max="12035" width="4" style="2" customWidth="1"/>
    <col min="12036" max="12036" width="12.86328125" style="2" bestFit="1" customWidth="1"/>
    <col min="12037" max="12037" width="14" style="2" bestFit="1" customWidth="1"/>
    <col min="12038" max="12038" width="12.86328125" style="2" bestFit="1" customWidth="1"/>
    <col min="12039" max="12039" width="10.86328125" style="2" customWidth="1"/>
    <col min="12040" max="12040" width="10.3984375" style="2" customWidth="1"/>
    <col min="12041" max="12041" width="11" style="2" customWidth="1"/>
    <col min="12042" max="12290" width="9.06640625" style="2"/>
    <col min="12291" max="12291" width="4" style="2" customWidth="1"/>
    <col min="12292" max="12292" width="12.86328125" style="2" bestFit="1" customWidth="1"/>
    <col min="12293" max="12293" width="14" style="2" bestFit="1" customWidth="1"/>
    <col min="12294" max="12294" width="12.86328125" style="2" bestFit="1" customWidth="1"/>
    <col min="12295" max="12295" width="10.86328125" style="2" customWidth="1"/>
    <col min="12296" max="12296" width="10.3984375" style="2" customWidth="1"/>
    <col min="12297" max="12297" width="11" style="2" customWidth="1"/>
    <col min="12298" max="12546" width="9.06640625" style="2"/>
    <col min="12547" max="12547" width="4" style="2" customWidth="1"/>
    <col min="12548" max="12548" width="12.86328125" style="2" bestFit="1" customWidth="1"/>
    <col min="12549" max="12549" width="14" style="2" bestFit="1" customWidth="1"/>
    <col min="12550" max="12550" width="12.86328125" style="2" bestFit="1" customWidth="1"/>
    <col min="12551" max="12551" width="10.86328125" style="2" customWidth="1"/>
    <col min="12552" max="12552" width="10.3984375" style="2" customWidth="1"/>
    <col min="12553" max="12553" width="11" style="2" customWidth="1"/>
    <col min="12554" max="12802" width="9.06640625" style="2"/>
    <col min="12803" max="12803" width="4" style="2" customWidth="1"/>
    <col min="12804" max="12804" width="12.86328125" style="2" bestFit="1" customWidth="1"/>
    <col min="12805" max="12805" width="14" style="2" bestFit="1" customWidth="1"/>
    <col min="12806" max="12806" width="12.86328125" style="2" bestFit="1" customWidth="1"/>
    <col min="12807" max="12807" width="10.86328125" style="2" customWidth="1"/>
    <col min="12808" max="12808" width="10.3984375" style="2" customWidth="1"/>
    <col min="12809" max="12809" width="11" style="2" customWidth="1"/>
    <col min="12810" max="13058" width="9.06640625" style="2"/>
    <col min="13059" max="13059" width="4" style="2" customWidth="1"/>
    <col min="13060" max="13060" width="12.86328125" style="2" bestFit="1" customWidth="1"/>
    <col min="13061" max="13061" width="14" style="2" bestFit="1" customWidth="1"/>
    <col min="13062" max="13062" width="12.86328125" style="2" bestFit="1" customWidth="1"/>
    <col min="13063" max="13063" width="10.86328125" style="2" customWidth="1"/>
    <col min="13064" max="13064" width="10.3984375" style="2" customWidth="1"/>
    <col min="13065" max="13065" width="11" style="2" customWidth="1"/>
    <col min="13066" max="13314" width="9.06640625" style="2"/>
    <col min="13315" max="13315" width="4" style="2" customWidth="1"/>
    <col min="13316" max="13316" width="12.86328125" style="2" bestFit="1" customWidth="1"/>
    <col min="13317" max="13317" width="14" style="2" bestFit="1" customWidth="1"/>
    <col min="13318" max="13318" width="12.86328125" style="2" bestFit="1" customWidth="1"/>
    <col min="13319" max="13319" width="10.86328125" style="2" customWidth="1"/>
    <col min="13320" max="13320" width="10.3984375" style="2" customWidth="1"/>
    <col min="13321" max="13321" width="11" style="2" customWidth="1"/>
    <col min="13322" max="13570" width="9.06640625" style="2"/>
    <col min="13571" max="13571" width="4" style="2" customWidth="1"/>
    <col min="13572" max="13572" width="12.86328125" style="2" bestFit="1" customWidth="1"/>
    <col min="13573" max="13573" width="14" style="2" bestFit="1" customWidth="1"/>
    <col min="13574" max="13574" width="12.86328125" style="2" bestFit="1" customWidth="1"/>
    <col min="13575" max="13575" width="10.86328125" style="2" customWidth="1"/>
    <col min="13576" max="13576" width="10.3984375" style="2" customWidth="1"/>
    <col min="13577" max="13577" width="11" style="2" customWidth="1"/>
    <col min="13578" max="13826" width="9.06640625" style="2"/>
    <col min="13827" max="13827" width="4" style="2" customWidth="1"/>
    <col min="13828" max="13828" width="12.86328125" style="2" bestFit="1" customWidth="1"/>
    <col min="13829" max="13829" width="14" style="2" bestFit="1" customWidth="1"/>
    <col min="13830" max="13830" width="12.86328125" style="2" bestFit="1" customWidth="1"/>
    <col min="13831" max="13831" width="10.86328125" style="2" customWidth="1"/>
    <col min="13832" max="13832" width="10.3984375" style="2" customWidth="1"/>
    <col min="13833" max="13833" width="11" style="2" customWidth="1"/>
    <col min="13834" max="14082" width="9.06640625" style="2"/>
    <col min="14083" max="14083" width="4" style="2" customWidth="1"/>
    <col min="14084" max="14084" width="12.86328125" style="2" bestFit="1" customWidth="1"/>
    <col min="14085" max="14085" width="14" style="2" bestFit="1" customWidth="1"/>
    <col min="14086" max="14086" width="12.86328125" style="2" bestFit="1" customWidth="1"/>
    <col min="14087" max="14087" width="10.86328125" style="2" customWidth="1"/>
    <col min="14088" max="14088" width="10.3984375" style="2" customWidth="1"/>
    <col min="14089" max="14089" width="11" style="2" customWidth="1"/>
    <col min="14090" max="14338" width="9.06640625" style="2"/>
    <col min="14339" max="14339" width="4" style="2" customWidth="1"/>
    <col min="14340" max="14340" width="12.86328125" style="2" bestFit="1" customWidth="1"/>
    <col min="14341" max="14341" width="14" style="2" bestFit="1" customWidth="1"/>
    <col min="14342" max="14342" width="12.86328125" style="2" bestFit="1" customWidth="1"/>
    <col min="14343" max="14343" width="10.86328125" style="2" customWidth="1"/>
    <col min="14344" max="14344" width="10.3984375" style="2" customWidth="1"/>
    <col min="14345" max="14345" width="11" style="2" customWidth="1"/>
    <col min="14346" max="14594" width="9.06640625" style="2"/>
    <col min="14595" max="14595" width="4" style="2" customWidth="1"/>
    <col min="14596" max="14596" width="12.86328125" style="2" bestFit="1" customWidth="1"/>
    <col min="14597" max="14597" width="14" style="2" bestFit="1" customWidth="1"/>
    <col min="14598" max="14598" width="12.86328125" style="2" bestFit="1" customWidth="1"/>
    <col min="14599" max="14599" width="10.86328125" style="2" customWidth="1"/>
    <col min="14600" max="14600" width="10.3984375" style="2" customWidth="1"/>
    <col min="14601" max="14601" width="11" style="2" customWidth="1"/>
    <col min="14602" max="14850" width="9.06640625" style="2"/>
    <col min="14851" max="14851" width="4" style="2" customWidth="1"/>
    <col min="14852" max="14852" width="12.86328125" style="2" bestFit="1" customWidth="1"/>
    <col min="14853" max="14853" width="14" style="2" bestFit="1" customWidth="1"/>
    <col min="14854" max="14854" width="12.86328125" style="2" bestFit="1" customWidth="1"/>
    <col min="14855" max="14855" width="10.86328125" style="2" customWidth="1"/>
    <col min="14856" max="14856" width="10.3984375" style="2" customWidth="1"/>
    <col min="14857" max="14857" width="11" style="2" customWidth="1"/>
    <col min="14858" max="15106" width="9.06640625" style="2"/>
    <col min="15107" max="15107" width="4" style="2" customWidth="1"/>
    <col min="15108" max="15108" width="12.86328125" style="2" bestFit="1" customWidth="1"/>
    <col min="15109" max="15109" width="14" style="2" bestFit="1" customWidth="1"/>
    <col min="15110" max="15110" width="12.86328125" style="2" bestFit="1" customWidth="1"/>
    <col min="15111" max="15111" width="10.86328125" style="2" customWidth="1"/>
    <col min="15112" max="15112" width="10.3984375" style="2" customWidth="1"/>
    <col min="15113" max="15113" width="11" style="2" customWidth="1"/>
    <col min="15114" max="15362" width="9.06640625" style="2"/>
    <col min="15363" max="15363" width="4" style="2" customWidth="1"/>
    <col min="15364" max="15364" width="12.86328125" style="2" bestFit="1" customWidth="1"/>
    <col min="15365" max="15365" width="14" style="2" bestFit="1" customWidth="1"/>
    <col min="15366" max="15366" width="12.86328125" style="2" bestFit="1" customWidth="1"/>
    <col min="15367" max="15367" width="10.86328125" style="2" customWidth="1"/>
    <col min="15368" max="15368" width="10.3984375" style="2" customWidth="1"/>
    <col min="15369" max="15369" width="11" style="2" customWidth="1"/>
    <col min="15370" max="15618" width="9.06640625" style="2"/>
    <col min="15619" max="15619" width="4" style="2" customWidth="1"/>
    <col min="15620" max="15620" width="12.86328125" style="2" bestFit="1" customWidth="1"/>
    <col min="15621" max="15621" width="14" style="2" bestFit="1" customWidth="1"/>
    <col min="15622" max="15622" width="12.86328125" style="2" bestFit="1" customWidth="1"/>
    <col min="15623" max="15623" width="10.86328125" style="2" customWidth="1"/>
    <col min="15624" max="15624" width="10.3984375" style="2" customWidth="1"/>
    <col min="15625" max="15625" width="11" style="2" customWidth="1"/>
    <col min="15626" max="15874" width="9.06640625" style="2"/>
    <col min="15875" max="15875" width="4" style="2" customWidth="1"/>
    <col min="15876" max="15876" width="12.86328125" style="2" bestFit="1" customWidth="1"/>
    <col min="15877" max="15877" width="14" style="2" bestFit="1" customWidth="1"/>
    <col min="15878" max="15878" width="12.86328125" style="2" bestFit="1" customWidth="1"/>
    <col min="15879" max="15879" width="10.86328125" style="2" customWidth="1"/>
    <col min="15880" max="15880" width="10.3984375" style="2" customWidth="1"/>
    <col min="15881" max="15881" width="11" style="2" customWidth="1"/>
    <col min="15882" max="16130" width="9.06640625" style="2"/>
    <col min="16131" max="16131" width="4" style="2" customWidth="1"/>
    <col min="16132" max="16132" width="12.86328125" style="2" bestFit="1" customWidth="1"/>
    <col min="16133" max="16133" width="14" style="2" bestFit="1" customWidth="1"/>
    <col min="16134" max="16134" width="12.86328125" style="2" bestFit="1" customWidth="1"/>
    <col min="16135" max="16135" width="10.86328125" style="2" customWidth="1"/>
    <col min="16136" max="16136" width="10.3984375" style="2" customWidth="1"/>
    <col min="16137" max="16137" width="11" style="2" customWidth="1"/>
    <col min="16138" max="16384" width="9.06640625" style="2"/>
  </cols>
  <sheetData>
    <row r="1" spans="2:10" x14ac:dyDescent="0.4">
      <c r="B1" s="241" t="str">
        <f>UPPER(state)</f>
        <v>OREGON</v>
      </c>
      <c r="C1" s="241"/>
      <c r="D1" s="241"/>
      <c r="E1" s="241"/>
      <c r="F1" s="241"/>
      <c r="G1" s="241"/>
      <c r="H1" s="241"/>
      <c r="I1" s="42"/>
    </row>
    <row r="2" spans="2:10" x14ac:dyDescent="0.4">
      <c r="B2" s="241" t="s">
        <v>153</v>
      </c>
      <c r="C2" s="241"/>
      <c r="D2" s="241"/>
      <c r="E2" s="241"/>
      <c r="F2" s="241"/>
      <c r="G2" s="241"/>
      <c r="H2" s="241"/>
      <c r="I2" s="42"/>
    </row>
    <row r="3" spans="2:10" x14ac:dyDescent="0.4">
      <c r="B3" s="241" t="s">
        <v>460</v>
      </c>
      <c r="C3" s="241"/>
      <c r="D3" s="241"/>
      <c r="E3" s="241"/>
      <c r="F3" s="241"/>
      <c r="G3" s="241"/>
      <c r="H3" s="241"/>
      <c r="I3" s="42"/>
    </row>
    <row r="4" spans="2:10" x14ac:dyDescent="0.4">
      <c r="B4" s="241"/>
      <c r="C4" s="241"/>
      <c r="D4" s="241"/>
      <c r="E4" s="241"/>
      <c r="F4" s="241"/>
      <c r="G4" s="241"/>
      <c r="H4" s="241"/>
      <c r="I4" s="42"/>
    </row>
    <row r="5" spans="2:10" x14ac:dyDescent="0.4">
      <c r="B5" s="241" t="s">
        <v>461</v>
      </c>
      <c r="C5" s="241"/>
      <c r="D5" s="241"/>
      <c r="E5" s="241"/>
      <c r="F5" s="241"/>
      <c r="G5" s="241"/>
      <c r="H5" s="241"/>
      <c r="I5" s="42"/>
    </row>
    <row r="6" spans="2:10" x14ac:dyDescent="0.4">
      <c r="B6" s="241"/>
      <c r="C6" s="241"/>
      <c r="D6" s="241"/>
      <c r="E6" s="241"/>
      <c r="F6" s="241"/>
      <c r="G6" s="241"/>
      <c r="H6" s="241"/>
      <c r="I6" s="42"/>
    </row>
    <row r="7" spans="2:10" x14ac:dyDescent="0.4">
      <c r="B7" s="42"/>
      <c r="C7" s="42"/>
      <c r="D7" s="62" t="s">
        <v>206</v>
      </c>
      <c r="E7" s="62" t="s">
        <v>207</v>
      </c>
      <c r="F7" s="62" t="s">
        <v>208</v>
      </c>
      <c r="G7" s="62" t="s">
        <v>227</v>
      </c>
      <c r="H7" s="62" t="s">
        <v>230</v>
      </c>
      <c r="I7" s="62"/>
    </row>
    <row r="8" spans="2:10" x14ac:dyDescent="0.4">
      <c r="B8" s="42"/>
      <c r="C8" s="42"/>
      <c r="D8" s="42"/>
      <c r="E8" s="42"/>
      <c r="F8" s="42"/>
      <c r="G8" s="42"/>
      <c r="H8" s="42" t="s">
        <v>447</v>
      </c>
      <c r="I8" s="42"/>
    </row>
    <row r="9" spans="2:10" x14ac:dyDescent="0.4">
      <c r="B9" s="42"/>
      <c r="C9" s="42"/>
      <c r="D9" s="42"/>
      <c r="E9" s="42"/>
      <c r="F9" s="42" t="s">
        <v>449</v>
      </c>
      <c r="G9" s="42" t="s">
        <v>449</v>
      </c>
      <c r="H9" s="42" t="s">
        <v>450</v>
      </c>
      <c r="I9" s="42"/>
    </row>
    <row r="10" spans="2:10" x14ac:dyDescent="0.4">
      <c r="B10" s="42" t="s">
        <v>451</v>
      </c>
      <c r="C10" s="42"/>
      <c r="D10" s="42" t="s">
        <v>267</v>
      </c>
      <c r="E10" s="42" t="s">
        <v>452</v>
      </c>
      <c r="F10" s="42" t="s">
        <v>452</v>
      </c>
      <c r="G10" s="42" t="s">
        <v>453</v>
      </c>
      <c r="H10" s="42" t="s">
        <v>453</v>
      </c>
      <c r="I10" s="42"/>
    </row>
    <row r="11" spans="2:10" x14ac:dyDescent="0.4">
      <c r="B11" s="52" t="s">
        <v>454</v>
      </c>
      <c r="C11" s="42"/>
      <c r="D11" s="52" t="s">
        <v>455</v>
      </c>
      <c r="E11" s="52" t="s">
        <v>272</v>
      </c>
      <c r="F11" s="52" t="s">
        <v>272</v>
      </c>
      <c r="G11" s="52" t="s">
        <v>264</v>
      </c>
      <c r="H11" s="52" t="s">
        <v>264</v>
      </c>
      <c r="I11" s="42"/>
    </row>
    <row r="13" spans="2:10" x14ac:dyDescent="0.4">
      <c r="B13" s="177">
        <v>33511</v>
      </c>
      <c r="D13" s="178">
        <v>1893428.784</v>
      </c>
      <c r="E13" s="178">
        <v>786890</v>
      </c>
      <c r="F13" s="178">
        <v>613493.15390000003</v>
      </c>
      <c r="G13" s="179">
        <v>0.32401000000000002</v>
      </c>
      <c r="H13" s="179">
        <v>9.1579999999999995E-2</v>
      </c>
    </row>
    <row r="14" spans="2:10" x14ac:dyDescent="0.4">
      <c r="B14" s="177">
        <v>33877</v>
      </c>
      <c r="D14" s="178">
        <v>1960307.6540000001</v>
      </c>
      <c r="E14" s="178">
        <v>444119</v>
      </c>
      <c r="F14" s="178">
        <v>444120.83789999998</v>
      </c>
      <c r="G14" s="179">
        <v>0.22656000000000001</v>
      </c>
      <c r="H14" s="179">
        <v>0</v>
      </c>
      <c r="I14" s="181"/>
      <c r="J14" s="75"/>
    </row>
    <row r="15" spans="2:10" x14ac:dyDescent="0.4">
      <c r="B15" s="177">
        <v>34242</v>
      </c>
      <c r="D15" s="178">
        <v>1975979.4140000001</v>
      </c>
      <c r="E15" s="178">
        <v>961624</v>
      </c>
      <c r="F15" s="178">
        <v>936907.18090000004</v>
      </c>
      <c r="G15" s="179">
        <v>0.47415000000000002</v>
      </c>
      <c r="H15" s="179">
        <v>1.251E-2</v>
      </c>
      <c r="I15" s="181"/>
    </row>
    <row r="16" spans="2:10" x14ac:dyDescent="0.4">
      <c r="B16" s="177">
        <v>34607</v>
      </c>
      <c r="D16" s="178">
        <v>2020391.2790000001</v>
      </c>
      <c r="E16" s="178">
        <v>490623</v>
      </c>
      <c r="F16" s="178">
        <v>490623.0232</v>
      </c>
      <c r="G16" s="179">
        <v>0.24284</v>
      </c>
      <c r="H16" s="179">
        <v>0</v>
      </c>
      <c r="I16" s="181"/>
    </row>
    <row r="17" spans="2:9" x14ac:dyDescent="0.4">
      <c r="B17" s="177">
        <v>34972</v>
      </c>
      <c r="D17" s="178">
        <v>2011875.655</v>
      </c>
      <c r="E17" s="178">
        <v>403630</v>
      </c>
      <c r="F17" s="178">
        <v>403629.5281</v>
      </c>
      <c r="G17" s="179">
        <v>0.20061999999999999</v>
      </c>
      <c r="H17" s="179">
        <v>0</v>
      </c>
      <c r="I17" s="181"/>
    </row>
    <row r="18" spans="2:9" x14ac:dyDescent="0.4">
      <c r="B18" s="177">
        <v>35338</v>
      </c>
      <c r="D18" s="178">
        <v>2079561.851</v>
      </c>
      <c r="E18" s="178">
        <v>1684858</v>
      </c>
      <c r="F18" s="178">
        <v>1413080.031</v>
      </c>
      <c r="G18" s="179">
        <v>0.67950999999999995</v>
      </c>
      <c r="H18" s="179">
        <v>0.13069</v>
      </c>
      <c r="I18" s="181"/>
    </row>
    <row r="19" spans="2:9" x14ac:dyDescent="0.4">
      <c r="B19" s="177">
        <v>35703</v>
      </c>
      <c r="D19" s="178">
        <v>2141617.105</v>
      </c>
      <c r="E19" s="178">
        <v>1016866</v>
      </c>
      <c r="F19" s="178">
        <v>910884.78879999998</v>
      </c>
      <c r="G19" s="179">
        <v>0.42532999999999999</v>
      </c>
      <c r="H19" s="179">
        <v>4.9489999999999999E-2</v>
      </c>
      <c r="I19" s="181"/>
    </row>
    <row r="20" spans="2:9" x14ac:dyDescent="0.4">
      <c r="B20" s="177">
        <v>36068</v>
      </c>
      <c r="D20" s="178">
        <v>2208350.659</v>
      </c>
      <c r="E20" s="178">
        <v>1446809</v>
      </c>
      <c r="F20" s="178">
        <v>934424.07759999996</v>
      </c>
      <c r="G20" s="179">
        <v>0.42313000000000001</v>
      </c>
      <c r="H20" s="179">
        <v>0.23202</v>
      </c>
      <c r="I20" s="181"/>
    </row>
    <row r="21" spans="2:9" x14ac:dyDescent="0.4">
      <c r="B21" s="177">
        <v>36433</v>
      </c>
      <c r="D21" s="178">
        <v>2234353.8849999998</v>
      </c>
      <c r="E21" s="178">
        <v>1066237</v>
      </c>
      <c r="F21" s="178">
        <v>1045911.911</v>
      </c>
      <c r="G21" s="179">
        <v>0.46810000000000002</v>
      </c>
      <c r="H21" s="179">
        <v>9.1000000000000004E-3</v>
      </c>
      <c r="I21" s="181"/>
    </row>
    <row r="22" spans="2:9" x14ac:dyDescent="0.4">
      <c r="B22" s="177">
        <v>36799</v>
      </c>
      <c r="D22" s="178">
        <v>3074090.74</v>
      </c>
      <c r="E22" s="178">
        <v>1890517</v>
      </c>
      <c r="F22" s="178">
        <v>1890518.1680000001</v>
      </c>
      <c r="G22" s="179">
        <v>0.61497999999999997</v>
      </c>
      <c r="H22" s="179">
        <v>0</v>
      </c>
      <c r="I22" s="181"/>
    </row>
    <row r="23" spans="2:9" x14ac:dyDescent="0.4">
      <c r="B23" s="177">
        <v>37164</v>
      </c>
      <c r="D23" s="178">
        <v>4094548.72</v>
      </c>
      <c r="E23" s="178">
        <v>1927842</v>
      </c>
      <c r="F23" s="178">
        <v>1815922.26</v>
      </c>
      <c r="G23" s="179">
        <v>0.44350000000000001</v>
      </c>
      <c r="H23" s="179">
        <v>2.733E-2</v>
      </c>
      <c r="I23" s="181"/>
    </row>
    <row r="24" spans="2:9" x14ac:dyDescent="0.4">
      <c r="B24" s="177">
        <v>37529</v>
      </c>
      <c r="D24" s="178">
        <v>4282538.2470000004</v>
      </c>
      <c r="E24" s="178">
        <v>1844715</v>
      </c>
      <c r="F24" s="178">
        <v>1844718.747</v>
      </c>
      <c r="G24" s="179">
        <v>0.43075000000000002</v>
      </c>
      <c r="H24" s="179">
        <v>0</v>
      </c>
      <c r="I24" s="181"/>
    </row>
    <row r="25" spans="2:9" x14ac:dyDescent="0.4">
      <c r="B25" s="177">
        <v>37894</v>
      </c>
      <c r="D25" s="178">
        <v>4840255.4230000004</v>
      </c>
      <c r="E25" s="178">
        <v>1705674</v>
      </c>
      <c r="F25" s="178">
        <v>1705677.1740000001</v>
      </c>
      <c r="G25" s="179">
        <v>0.35238999999999998</v>
      </c>
      <c r="H25" s="179">
        <v>0</v>
      </c>
      <c r="I25" s="181"/>
    </row>
    <row r="26" spans="2:9" x14ac:dyDescent="0.4">
      <c r="B26" s="177">
        <v>38260</v>
      </c>
      <c r="D26" s="178">
        <v>5171587.63</v>
      </c>
      <c r="E26" s="178">
        <v>2461426</v>
      </c>
      <c r="F26" s="178">
        <v>2409769.2340000002</v>
      </c>
      <c r="G26" s="179">
        <v>0.46595999999999999</v>
      </c>
      <c r="H26" s="179">
        <v>9.9900000000000006E-3</v>
      </c>
      <c r="I26" s="181"/>
    </row>
    <row r="27" spans="2:9" x14ac:dyDescent="0.4">
      <c r="B27" s="177">
        <v>38625</v>
      </c>
      <c r="D27" s="178">
        <v>5469817.0590000004</v>
      </c>
      <c r="E27" s="178">
        <v>1188859</v>
      </c>
      <c r="F27" s="178">
        <v>1188858.929</v>
      </c>
      <c r="G27" s="179">
        <v>0.21734999999999999</v>
      </c>
      <c r="H27" s="179">
        <v>0</v>
      </c>
      <c r="I27" s="181"/>
    </row>
    <row r="28" spans="2:9" x14ac:dyDescent="0.4">
      <c r="B28" s="177">
        <v>38990</v>
      </c>
      <c r="D28" s="178">
        <v>5547005.5970000001</v>
      </c>
      <c r="E28" s="178">
        <v>1504171</v>
      </c>
      <c r="F28" s="178">
        <v>1504168.5789999999</v>
      </c>
      <c r="G28" s="179">
        <v>0.27117000000000002</v>
      </c>
      <c r="H28" s="179">
        <v>0</v>
      </c>
      <c r="I28" s="181"/>
    </row>
    <row r="29" spans="2:9" x14ac:dyDescent="0.4">
      <c r="B29" s="177">
        <v>39355</v>
      </c>
      <c r="D29" s="178">
        <v>5550092.0149999997</v>
      </c>
      <c r="E29" s="178">
        <v>1842976</v>
      </c>
      <c r="F29" s="178">
        <v>1842980.9029999999</v>
      </c>
      <c r="G29" s="179">
        <v>0.33206000000000002</v>
      </c>
      <c r="H29" s="179">
        <v>0</v>
      </c>
      <c r="I29" s="181"/>
    </row>
    <row r="30" spans="2:9" x14ac:dyDescent="0.4">
      <c r="B30" s="177">
        <v>39721</v>
      </c>
      <c r="D30" s="178">
        <v>5894920.9400000004</v>
      </c>
      <c r="E30" s="178">
        <v>2669480</v>
      </c>
      <c r="F30" s="178">
        <v>2562365.1409999998</v>
      </c>
      <c r="G30" s="179">
        <v>0.43467</v>
      </c>
      <c r="H30" s="179">
        <v>1.8169999999999999E-2</v>
      </c>
      <c r="I30" s="181"/>
    </row>
    <row r="31" spans="2:9" x14ac:dyDescent="0.4">
      <c r="B31" s="177">
        <v>40086</v>
      </c>
      <c r="D31" s="178">
        <v>6314722.1059999997</v>
      </c>
      <c r="E31" s="178">
        <v>3030173</v>
      </c>
      <c r="F31" s="178">
        <v>3030180.3939999999</v>
      </c>
      <c r="G31" s="179">
        <v>0.47986000000000001</v>
      </c>
      <c r="H31" s="179">
        <v>0</v>
      </c>
      <c r="I31" s="181"/>
    </row>
    <row r="32" spans="2:9" x14ac:dyDescent="0.4">
      <c r="B32" s="177">
        <v>40451</v>
      </c>
      <c r="D32" s="178">
        <v>6485890.9749999996</v>
      </c>
      <c r="E32" s="178">
        <v>5608184</v>
      </c>
      <c r="F32" s="178">
        <v>3678026.2609999999</v>
      </c>
      <c r="G32" s="179">
        <v>0.56708000000000003</v>
      </c>
      <c r="H32" s="179">
        <v>0.29759999999999998</v>
      </c>
      <c r="I32" s="181"/>
    </row>
    <row r="33" spans="2:9" x14ac:dyDescent="0.4">
      <c r="B33" s="177">
        <v>40816</v>
      </c>
      <c r="D33" s="178">
        <v>6460348.7199999997</v>
      </c>
      <c r="E33" s="178">
        <v>2848363</v>
      </c>
      <c r="F33" s="178">
        <v>2848373.3790000002</v>
      </c>
      <c r="G33" s="179">
        <v>0.44090000000000001</v>
      </c>
      <c r="H33" s="179">
        <v>0</v>
      </c>
      <c r="I33" s="181"/>
    </row>
    <row r="34" spans="2:9" x14ac:dyDescent="0.4">
      <c r="B34" s="177">
        <v>41182</v>
      </c>
      <c r="D34" s="178">
        <v>6218255.5820000004</v>
      </c>
      <c r="E34" s="178">
        <v>2802166</v>
      </c>
      <c r="F34" s="178">
        <v>2802166.4640000002</v>
      </c>
      <c r="G34" s="179">
        <v>0.45063999999999999</v>
      </c>
      <c r="H34" s="179">
        <v>0</v>
      </c>
      <c r="I34" s="181"/>
    </row>
    <row r="35" spans="2:9" x14ac:dyDescent="0.4">
      <c r="B35" s="177">
        <v>41547</v>
      </c>
      <c r="D35" s="178">
        <v>6776168.5619999999</v>
      </c>
      <c r="E35" s="178">
        <v>2833247</v>
      </c>
      <c r="F35" s="178">
        <v>2833246.767</v>
      </c>
      <c r="G35" s="179">
        <v>0.41811999999999999</v>
      </c>
      <c r="H35" s="179">
        <v>0</v>
      </c>
      <c r="I35" s="181"/>
    </row>
    <row r="36" spans="2:9" x14ac:dyDescent="0.4">
      <c r="B36" s="177">
        <v>41912</v>
      </c>
      <c r="D36" s="178">
        <v>7279078.8119999999</v>
      </c>
      <c r="E36" s="178">
        <v>5090789</v>
      </c>
      <c r="F36" s="178">
        <v>4709169.2139999997</v>
      </c>
      <c r="G36" s="179">
        <v>0.64695000000000003</v>
      </c>
      <c r="H36" s="179">
        <v>5.2429999999999997E-2</v>
      </c>
      <c r="I36" s="181"/>
    </row>
    <row r="37" spans="2:9" x14ac:dyDescent="0.4">
      <c r="B37" s="177">
        <v>42277</v>
      </c>
      <c r="D37" s="178">
        <v>7311757.9179999996</v>
      </c>
      <c r="E37" s="178">
        <v>3261175</v>
      </c>
      <c r="F37" s="178">
        <v>3261174.9130000002</v>
      </c>
      <c r="G37" s="179">
        <v>0.44602000000000003</v>
      </c>
      <c r="H37" s="179">
        <v>0</v>
      </c>
      <c r="I37" s="181"/>
    </row>
    <row r="38" spans="2:9" x14ac:dyDescent="0.4">
      <c r="B38" s="177">
        <v>42643</v>
      </c>
      <c r="D38" s="178">
        <v>7293481.659</v>
      </c>
      <c r="E38" s="178">
        <v>3987820</v>
      </c>
      <c r="F38" s="178">
        <v>3987823.6860000002</v>
      </c>
      <c r="G38" s="179">
        <v>0.54676999999999998</v>
      </c>
      <c r="H38" s="179">
        <v>0</v>
      </c>
      <c r="I38" s="181"/>
    </row>
    <row r="39" spans="2:9" x14ac:dyDescent="0.4">
      <c r="B39" s="177">
        <v>43008</v>
      </c>
      <c r="D39" s="178">
        <v>7355448.2300000004</v>
      </c>
      <c r="E39" s="178">
        <v>13239843</v>
      </c>
      <c r="F39" s="178">
        <v>5933382.199</v>
      </c>
      <c r="G39" s="179">
        <v>0.80666000000000004</v>
      </c>
      <c r="H39" s="179">
        <v>0.99334</v>
      </c>
      <c r="I39" s="181"/>
    </row>
    <row r="40" spans="2:9" x14ac:dyDescent="0.4">
      <c r="B40" s="177">
        <v>43373</v>
      </c>
      <c r="D40" s="178">
        <v>7568009.4289999995</v>
      </c>
      <c r="E40" s="178">
        <v>3027238</v>
      </c>
      <c r="F40" s="178">
        <v>3027241.8420000002</v>
      </c>
      <c r="G40" s="179">
        <v>0.40000999999999998</v>
      </c>
      <c r="H40" s="179">
        <v>0</v>
      </c>
      <c r="I40" s="181"/>
    </row>
    <row r="41" spans="2:9" x14ac:dyDescent="0.4">
      <c r="B41" s="177">
        <v>43738</v>
      </c>
      <c r="D41" s="178">
        <v>8062235.3540000003</v>
      </c>
      <c r="E41" s="178">
        <v>8424444</v>
      </c>
      <c r="F41" s="178">
        <v>7314877.0109999999</v>
      </c>
      <c r="G41" s="179">
        <v>0.9073</v>
      </c>
      <c r="H41" s="179">
        <v>0.13763</v>
      </c>
      <c r="I41" s="181"/>
    </row>
    <row r="42" spans="2:9" x14ac:dyDescent="0.4">
      <c r="B42" s="177">
        <v>44104</v>
      </c>
      <c r="D42" s="178">
        <v>8979068.5480000004</v>
      </c>
      <c r="E42" s="178">
        <v>10543409</v>
      </c>
      <c r="F42" s="178">
        <v>7058585.8300000001</v>
      </c>
      <c r="G42" s="179">
        <v>0.78612000000000004</v>
      </c>
      <c r="H42" s="179">
        <v>0.38811000000000001</v>
      </c>
      <c r="I42" s="181"/>
    </row>
    <row r="43" spans="2:9" x14ac:dyDescent="0.4">
      <c r="B43" s="177"/>
      <c r="G43" s="42"/>
      <c r="H43" s="42"/>
    </row>
    <row r="44" spans="2:9" x14ac:dyDescent="0.4">
      <c r="C44" s="182" t="s">
        <v>456</v>
      </c>
      <c r="G44" s="73">
        <f>SUM(G12:G43)</f>
        <v>13.92351</v>
      </c>
      <c r="H44" s="73">
        <f>SUM(H12:H43)</f>
        <v>2.4499900000000001</v>
      </c>
      <c r="I44" s="75"/>
    </row>
    <row r="45" spans="2:9" x14ac:dyDescent="0.4">
      <c r="B45" s="177"/>
    </row>
    <row r="46" spans="2:9" x14ac:dyDescent="0.4">
      <c r="C46" s="183" t="s">
        <v>462</v>
      </c>
      <c r="G46" s="90"/>
      <c r="H46" s="73">
        <f>ROUND(H44/G44,3)</f>
        <v>0.17599999999999999</v>
      </c>
    </row>
    <row r="47" spans="2:9" x14ac:dyDescent="0.4">
      <c r="C47" s="177"/>
      <c r="H47" s="42"/>
    </row>
    <row r="48" spans="2:9" x14ac:dyDescent="0.4">
      <c r="C48" s="183" t="s">
        <v>463</v>
      </c>
      <c r="G48" s="90"/>
      <c r="H48" s="73">
        <f>1+H46</f>
        <v>1.1759999999999999</v>
      </c>
    </row>
  </sheetData>
  <mergeCells count="6">
    <mergeCell ref="B6:H6"/>
    <mergeCell ref="B1:H1"/>
    <mergeCell ref="B2:H2"/>
    <mergeCell ref="B3:H3"/>
    <mergeCell ref="B4:H4"/>
    <mergeCell ref="B5:H5"/>
  </mergeCells>
  <printOptions horizontalCentered="1"/>
  <pageMargins left="0.25" right="0.25" top="0.75" bottom="0.75" header="0.3" footer="0.3"/>
  <pageSetup firstPageNumber="0" orientation="portrait" useFirstPageNumber="1" r:id="rId1"/>
  <headerFooter>
    <oddHeader>&amp;L&amp;"Times New Roman"&amp;9INSURANCE SERVICES OFFICE, INC.</oddHeader>
    <oddFooter>&amp;C&amp;"Times New Roman"&amp;9© Insurance Services Office, Inc., 2022        		OREGON        BP-2021-RLA1&amp;R&amp;"Times New Roman"&amp;9&amp;A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953397-FC1C-4BD8-999F-E4B5917A3EBF}">
  <sheetPr>
    <pageSetUpPr fitToPage="1"/>
  </sheetPr>
  <dimension ref="A1:I47"/>
  <sheetViews>
    <sheetView zoomScale="85" zoomScaleNormal="85" workbookViewId="0">
      <selection sqref="A1:H1"/>
    </sheetView>
  </sheetViews>
  <sheetFormatPr defaultRowHeight="12.75" x14ac:dyDescent="0.35"/>
  <cols>
    <col min="1" max="1" width="9.265625" style="84" customWidth="1"/>
    <col min="2" max="2" width="14.3984375" style="84" customWidth="1"/>
    <col min="3" max="3" width="13.73046875" style="84" customWidth="1"/>
    <col min="4" max="4" width="13" style="84" customWidth="1"/>
    <col min="5" max="5" width="13.73046875" style="84" customWidth="1"/>
    <col min="6" max="6" width="11.86328125" style="84" customWidth="1"/>
    <col min="7" max="7" width="13.265625" style="84" bestFit="1" customWidth="1"/>
    <col min="8" max="8" width="12" style="84" customWidth="1"/>
    <col min="9" max="10" width="9.06640625" style="84"/>
    <col min="11" max="11" width="10.265625" style="84" bestFit="1" customWidth="1"/>
    <col min="12" max="16384" width="9.06640625" style="84"/>
  </cols>
  <sheetData>
    <row r="1" spans="1:8" ht="13.9" x14ac:dyDescent="0.4">
      <c r="A1" s="266" t="str">
        <f>UPPER(state)</f>
        <v>OREGON</v>
      </c>
      <c r="B1" s="266"/>
      <c r="C1" s="266"/>
      <c r="D1" s="266"/>
      <c r="E1" s="266"/>
      <c r="F1" s="266"/>
      <c r="G1" s="266"/>
      <c r="H1" s="266"/>
    </row>
    <row r="2" spans="1:8" ht="13.9" x14ac:dyDescent="0.4">
      <c r="A2" s="266" t="s">
        <v>153</v>
      </c>
      <c r="B2" s="266"/>
      <c r="C2" s="266"/>
      <c r="D2" s="266"/>
      <c r="E2" s="266"/>
      <c r="F2" s="266"/>
      <c r="G2" s="266"/>
      <c r="H2" s="266"/>
    </row>
    <row r="3" spans="1:8" ht="13.9" x14ac:dyDescent="0.4">
      <c r="A3" s="266"/>
      <c r="B3" s="266"/>
      <c r="C3" s="266"/>
      <c r="D3" s="266"/>
      <c r="E3" s="266"/>
      <c r="F3" s="266"/>
      <c r="G3" s="266"/>
      <c r="H3" s="266"/>
    </row>
    <row r="4" spans="1:8" ht="13.9" x14ac:dyDescent="0.4">
      <c r="A4" s="266" t="s">
        <v>464</v>
      </c>
      <c r="B4" s="266"/>
      <c r="C4" s="266"/>
      <c r="D4" s="266"/>
      <c r="E4" s="266"/>
      <c r="F4" s="266"/>
      <c r="G4" s="266"/>
      <c r="H4" s="266"/>
    </row>
    <row r="5" spans="1:8" ht="13.9" x14ac:dyDescent="0.4">
      <c r="A5" s="266"/>
      <c r="B5" s="266"/>
      <c r="C5" s="266"/>
      <c r="D5" s="266"/>
      <c r="E5" s="266"/>
      <c r="F5" s="266"/>
      <c r="G5" s="266"/>
      <c r="H5" s="266"/>
    </row>
    <row r="6" spans="1:8" ht="13.9" x14ac:dyDescent="0.4">
      <c r="A6" s="266" t="s">
        <v>465</v>
      </c>
      <c r="B6" s="266"/>
      <c r="C6" s="266"/>
      <c r="D6" s="266"/>
      <c r="E6" s="266"/>
      <c r="F6" s="266"/>
      <c r="G6" s="266"/>
      <c r="H6" s="266"/>
    </row>
    <row r="7" spans="1:8" ht="13.9" x14ac:dyDescent="0.4">
      <c r="A7" s="266" t="s">
        <v>407</v>
      </c>
      <c r="B7" s="266"/>
      <c r="C7" s="266"/>
      <c r="D7" s="266"/>
      <c r="E7" s="266"/>
      <c r="F7" s="266"/>
      <c r="G7" s="266"/>
      <c r="H7" s="266"/>
    </row>
    <row r="9" spans="1:8" ht="13.9" x14ac:dyDescent="0.4">
      <c r="C9" s="38" t="s">
        <v>466</v>
      </c>
      <c r="D9" s="38" t="s">
        <v>466</v>
      </c>
      <c r="E9" s="38"/>
      <c r="F9" s="38" t="s">
        <v>408</v>
      </c>
      <c r="G9" s="38" t="s">
        <v>408</v>
      </c>
      <c r="H9" s="38"/>
    </row>
    <row r="10" spans="1:8" ht="13.9" x14ac:dyDescent="0.4">
      <c r="A10" s="38" t="s">
        <v>409</v>
      </c>
      <c r="B10" s="38" t="s">
        <v>410</v>
      </c>
      <c r="C10" s="38" t="s">
        <v>288</v>
      </c>
      <c r="D10" s="38" t="s">
        <v>411</v>
      </c>
      <c r="E10" s="38" t="s">
        <v>466</v>
      </c>
      <c r="F10" s="38" t="s">
        <v>413</v>
      </c>
      <c r="G10" s="38" t="s">
        <v>413</v>
      </c>
      <c r="H10" s="38" t="s">
        <v>414</v>
      </c>
    </row>
    <row r="11" spans="1:8" ht="13.9" x14ac:dyDescent="0.4">
      <c r="A11" s="164" t="s">
        <v>109</v>
      </c>
      <c r="B11" s="164" t="s">
        <v>415</v>
      </c>
      <c r="C11" s="164" t="s">
        <v>416</v>
      </c>
      <c r="D11" s="164" t="s">
        <v>467</v>
      </c>
      <c r="E11" s="164" t="s">
        <v>468</v>
      </c>
      <c r="F11" s="164" t="s">
        <v>418</v>
      </c>
      <c r="G11" s="164" t="s">
        <v>419</v>
      </c>
      <c r="H11" s="164" t="s">
        <v>469</v>
      </c>
    </row>
    <row r="12" spans="1:8" ht="13.9" x14ac:dyDescent="0.4">
      <c r="A12" s="28">
        <v>2011</v>
      </c>
      <c r="B12" s="165">
        <v>4099794320.6486602</v>
      </c>
      <c r="C12" s="165">
        <v>124892081</v>
      </c>
      <c r="D12" s="165">
        <v>57893480.189999998</v>
      </c>
      <c r="E12" s="165">
        <v>5109</v>
      </c>
      <c r="F12" s="166">
        <f>C12/E12</f>
        <v>24445.504208259932</v>
      </c>
      <c r="G12" s="166">
        <f>D12/$E12</f>
        <v>11331.66572519084</v>
      </c>
      <c r="H12" s="167">
        <f t="shared" ref="H12:H21" si="0">E12/B12*100000</f>
        <v>0.12461600754624359</v>
      </c>
    </row>
    <row r="13" spans="1:8" ht="13.9" x14ac:dyDescent="0.4">
      <c r="A13" s="28">
        <v>2012</v>
      </c>
      <c r="B13" s="165">
        <v>4506624976.36763</v>
      </c>
      <c r="C13" s="165">
        <v>103722591.79499999</v>
      </c>
      <c r="D13" s="165">
        <v>45571825.550249994</v>
      </c>
      <c r="E13" s="165">
        <v>3803.7999999999997</v>
      </c>
      <c r="F13" s="166">
        <f t="shared" ref="F13:F21" si="1">C13/E13</f>
        <v>27268.150742678372</v>
      </c>
      <c r="G13" s="166">
        <f t="shared" ref="G13:G21" si="2">D13/$E13</f>
        <v>11980.605066052369</v>
      </c>
      <c r="H13" s="167">
        <f t="shared" si="0"/>
        <v>8.4404626964675641E-2</v>
      </c>
    </row>
    <row r="14" spans="1:8" ht="13.9" x14ac:dyDescent="0.4">
      <c r="A14" s="28">
        <v>2013</v>
      </c>
      <c r="B14" s="165">
        <v>4437805156.2744598</v>
      </c>
      <c r="C14" s="165">
        <v>116920216.97999999</v>
      </c>
      <c r="D14" s="165">
        <v>52042231.233299993</v>
      </c>
      <c r="E14" s="165">
        <v>3760.5059999999999</v>
      </c>
      <c r="F14" s="166">
        <f t="shared" si="1"/>
        <v>31091.61825030993</v>
      </c>
      <c r="G14" s="166">
        <f t="shared" si="2"/>
        <v>13839.156547895414</v>
      </c>
      <c r="H14" s="167">
        <f t="shared" si="0"/>
        <v>8.4737969955331408E-2</v>
      </c>
    </row>
    <row r="15" spans="1:8" ht="13.9" x14ac:dyDescent="0.4">
      <c r="A15" s="28">
        <v>2014</v>
      </c>
      <c r="B15" s="165">
        <v>4368966707.8074503</v>
      </c>
      <c r="C15" s="165">
        <v>193128898.48899999</v>
      </c>
      <c r="D15" s="165">
        <v>84306880.336589992</v>
      </c>
      <c r="E15" s="165">
        <v>5366.38</v>
      </c>
      <c r="F15" s="166">
        <f t="shared" si="1"/>
        <v>35988.673647598567</v>
      </c>
      <c r="G15" s="166">
        <f t="shared" si="2"/>
        <v>15710.195762616511</v>
      </c>
      <c r="H15" s="167">
        <f t="shared" si="0"/>
        <v>0.12282950086138554</v>
      </c>
    </row>
    <row r="16" spans="1:8" ht="13.9" x14ac:dyDescent="0.4">
      <c r="A16" s="28">
        <v>2015</v>
      </c>
      <c r="B16" s="165">
        <v>4070042017.54247</v>
      </c>
      <c r="C16" s="165">
        <v>176848250.17499998</v>
      </c>
      <c r="D16" s="165">
        <v>73654743.693749994</v>
      </c>
      <c r="E16" s="165">
        <v>4583.8639999999996</v>
      </c>
      <c r="F16" s="166">
        <f t="shared" si="1"/>
        <v>38580.605832764675</v>
      </c>
      <c r="G16" s="166">
        <f t="shared" si="2"/>
        <v>16068.265483825437</v>
      </c>
      <c r="H16" s="167">
        <f t="shared" si="0"/>
        <v>0.1126244884019104</v>
      </c>
    </row>
    <row r="17" spans="1:9" ht="13.9" x14ac:dyDescent="0.4">
      <c r="A17" s="28">
        <v>2016</v>
      </c>
      <c r="B17" s="165">
        <v>3958126586.8659</v>
      </c>
      <c r="C17" s="165">
        <v>143301005.24399999</v>
      </c>
      <c r="D17" s="165">
        <v>62315579.788199998</v>
      </c>
      <c r="E17" s="165">
        <v>3792.6719999999996</v>
      </c>
      <c r="F17" s="166">
        <f t="shared" si="1"/>
        <v>37783.65364682208</v>
      </c>
      <c r="G17" s="166">
        <f t="shared" si="2"/>
        <v>16430.521750417651</v>
      </c>
      <c r="H17" s="167">
        <f t="shared" si="0"/>
        <v>9.5819876316868641E-2</v>
      </c>
    </row>
    <row r="18" spans="1:9" ht="13.9" x14ac:dyDescent="0.4">
      <c r="A18" s="28">
        <v>2017</v>
      </c>
      <c r="B18" s="165">
        <v>4376700913.9025297</v>
      </c>
      <c r="C18" s="165">
        <v>143257458.23899999</v>
      </c>
      <c r="D18" s="165">
        <v>69924050.613340005</v>
      </c>
      <c r="E18" s="165">
        <v>3810.7960000000003</v>
      </c>
      <c r="F18" s="166">
        <f t="shared" si="1"/>
        <v>37592.528762757174</v>
      </c>
      <c r="G18" s="166">
        <f t="shared" si="2"/>
        <v>18348.935658938448</v>
      </c>
      <c r="H18" s="167">
        <f t="shared" si="0"/>
        <v>8.7070057446581736E-2</v>
      </c>
    </row>
    <row r="19" spans="1:9" ht="13.9" x14ac:dyDescent="0.4">
      <c r="A19" s="28">
        <v>2018</v>
      </c>
      <c r="B19" s="165">
        <v>4625505126.49652</v>
      </c>
      <c r="C19" s="165">
        <v>142574248.648</v>
      </c>
      <c r="D19" s="165">
        <v>79745375.697259992</v>
      </c>
      <c r="E19" s="165">
        <v>4122.8589999999995</v>
      </c>
      <c r="F19" s="166">
        <f t="shared" si="1"/>
        <v>34581.40301378243</v>
      </c>
      <c r="G19" s="166">
        <f t="shared" si="2"/>
        <v>19342.251504904729</v>
      </c>
      <c r="H19" s="167">
        <f t="shared" si="0"/>
        <v>8.9133162481710659E-2</v>
      </c>
    </row>
    <row r="20" spans="1:9" ht="13.9" x14ac:dyDescent="0.4">
      <c r="A20" s="28">
        <v>2019</v>
      </c>
      <c r="B20" s="165">
        <v>4740842411.5108299</v>
      </c>
      <c r="C20" s="165">
        <v>127118293.626</v>
      </c>
      <c r="D20" s="165">
        <v>79532343.744869992</v>
      </c>
      <c r="E20" s="165">
        <v>3252.6540000000005</v>
      </c>
      <c r="F20" s="166">
        <f t="shared" si="1"/>
        <v>39081.406637779481</v>
      </c>
      <c r="G20" s="166">
        <f t="shared" si="2"/>
        <v>24451.522893265002</v>
      </c>
      <c r="H20" s="167">
        <f t="shared" si="0"/>
        <v>6.8609198907403288E-2</v>
      </c>
    </row>
    <row r="21" spans="1:9" ht="13.9" x14ac:dyDescent="0.4">
      <c r="A21" s="28">
        <v>2020</v>
      </c>
      <c r="B21" s="165">
        <v>4804788607.4246998</v>
      </c>
      <c r="C21" s="165">
        <v>105804439.936</v>
      </c>
      <c r="D21" s="165">
        <v>76934890.464880005</v>
      </c>
      <c r="E21" s="165">
        <v>2474.5</v>
      </c>
      <c r="F21" s="166">
        <f t="shared" si="1"/>
        <v>42757.906621943832</v>
      </c>
      <c r="G21" s="166">
        <f t="shared" si="2"/>
        <v>31091.085255558701</v>
      </c>
      <c r="H21" s="167">
        <f t="shared" si="0"/>
        <v>5.1500704862982465E-2</v>
      </c>
    </row>
    <row r="23" spans="1:9" ht="13.9" x14ac:dyDescent="0.4">
      <c r="A23" s="267" t="s">
        <v>421</v>
      </c>
      <c r="B23" s="267"/>
      <c r="C23" s="267"/>
      <c r="G23" s="270" t="s">
        <v>422</v>
      </c>
      <c r="H23" s="270"/>
    </row>
    <row r="24" spans="1:9" ht="13.9" x14ac:dyDescent="0.35">
      <c r="A24" s="269"/>
      <c r="B24" s="269"/>
      <c r="C24" s="269"/>
      <c r="E24" s="171" t="s">
        <v>366</v>
      </c>
      <c r="F24" s="171" t="s">
        <v>372</v>
      </c>
      <c r="G24" s="171" t="s">
        <v>366</v>
      </c>
      <c r="H24" s="171" t="s">
        <v>423</v>
      </c>
    </row>
    <row r="25" spans="1:9" ht="13.9" x14ac:dyDescent="0.35">
      <c r="A25" s="269"/>
      <c r="B25" s="269"/>
      <c r="C25" s="269"/>
      <c r="E25" s="171"/>
      <c r="F25" s="171"/>
      <c r="G25" s="171"/>
      <c r="H25" s="171"/>
    </row>
    <row r="26" spans="1:9" ht="13.9" x14ac:dyDescent="0.4">
      <c r="A26" s="268" t="s">
        <v>470</v>
      </c>
      <c r="B26" s="268"/>
      <c r="C26" s="268"/>
      <c r="D26" s="268"/>
      <c r="E26" s="172">
        <f>ROUND(LOGEST(F12:F21,A12:A21,TRUE, TRUE)-1,3)</f>
        <v>5.0999999999999997E-2</v>
      </c>
      <c r="F26" s="172">
        <f>ROUND(LOGEST(H12:H21,A12:A21,TRUE, TRUE)-1,3)</f>
        <v>-6.0999999999999999E-2</v>
      </c>
      <c r="G26" s="173">
        <f>RSQ(LN(F12:F21),A12:A21)</f>
        <v>0.7360953931840345</v>
      </c>
      <c r="H26" s="173">
        <f>RSQ(LN(H12:H21),A12:A21)</f>
        <v>0.49847203923222055</v>
      </c>
      <c r="I26" s="88"/>
    </row>
    <row r="27" spans="1:9" ht="13.9" x14ac:dyDescent="0.4">
      <c r="A27" s="268"/>
      <c r="B27" s="268"/>
      <c r="C27" s="268"/>
      <c r="D27" s="268"/>
      <c r="E27" s="172"/>
      <c r="F27" s="172"/>
      <c r="G27" s="173"/>
      <c r="H27" s="173"/>
    </row>
    <row r="28" spans="1:9" ht="13.9" x14ac:dyDescent="0.4">
      <c r="A28" s="268" t="s">
        <v>471</v>
      </c>
      <c r="B28" s="268"/>
      <c r="C28" s="268"/>
      <c r="D28" s="268"/>
      <c r="E28" s="172">
        <f>ROUND(LOGEST(F14:F21,A14:A21,TRUE, TRUE)-1,3)</f>
        <v>2.8000000000000001E-2</v>
      </c>
      <c r="F28" s="172">
        <f>ROUND(LOGEST(H14:H21,A14:A21,TRUE, TRUE)-1,3)</f>
        <v>-8.2000000000000003E-2</v>
      </c>
      <c r="G28" s="173">
        <f>RSQ(LN(F14:F21),A14:A21)</f>
        <v>0.51230329428761123</v>
      </c>
      <c r="H28" s="173">
        <f>RSQ(LN(H14:H21),A14:A21)</f>
        <v>0.58474701954739805</v>
      </c>
    </row>
    <row r="29" spans="1:9" ht="13.9" x14ac:dyDescent="0.35">
      <c r="A29" s="269"/>
      <c r="B29" s="269"/>
      <c r="C29" s="269"/>
      <c r="D29" s="269"/>
      <c r="E29" s="172"/>
      <c r="F29" s="172"/>
      <c r="G29" s="173"/>
      <c r="H29" s="173"/>
    </row>
    <row r="30" spans="1:9" ht="13.9" x14ac:dyDescent="0.4">
      <c r="A30" s="268" t="s">
        <v>472</v>
      </c>
      <c r="B30" s="268"/>
      <c r="C30" s="268"/>
      <c r="D30" s="268"/>
      <c r="E30" s="172">
        <f>ROUND(LOGEST(F16:F21,A16:A21,TRUE, TRUE)-1,3)</f>
        <v>1.4999999999999999E-2</v>
      </c>
      <c r="F30" s="172">
        <f>ROUND(LOGEST(H16:H21,A16:A21,TRUE, TRUE)-1,3)</f>
        <v>-0.13</v>
      </c>
      <c r="G30" s="173">
        <f>RSQ(LN(F16:F21),A16:A21)</f>
        <v>0.17161716531649779</v>
      </c>
      <c r="H30" s="173">
        <f>RSQ(LN(H16:H21),A16:A21)</f>
        <v>0.89105866992817817</v>
      </c>
    </row>
    <row r="31" spans="1:9" x14ac:dyDescent="0.35">
      <c r="A31" s="269"/>
      <c r="B31" s="269"/>
      <c r="C31" s="269"/>
      <c r="D31" s="269"/>
    </row>
    <row r="32" spans="1:9" x14ac:dyDescent="0.35">
      <c r="A32" s="269"/>
      <c r="B32" s="269"/>
      <c r="C32" s="269"/>
      <c r="D32" s="269"/>
    </row>
    <row r="33" spans="1:8" ht="13.9" x14ac:dyDescent="0.4">
      <c r="A33" s="267" t="s">
        <v>427</v>
      </c>
      <c r="B33" s="267"/>
      <c r="C33" s="267"/>
      <c r="D33" s="267"/>
      <c r="G33" s="270" t="s">
        <v>422</v>
      </c>
      <c r="H33" s="270"/>
    </row>
    <row r="34" spans="1:8" ht="13.9" x14ac:dyDescent="0.35">
      <c r="A34" s="269"/>
      <c r="B34" s="269"/>
      <c r="C34" s="269"/>
      <c r="D34" s="269"/>
      <c r="E34" s="171" t="s">
        <v>366</v>
      </c>
      <c r="F34" s="171" t="s">
        <v>372</v>
      </c>
      <c r="G34" s="171" t="s">
        <v>366</v>
      </c>
      <c r="H34" s="171" t="s">
        <v>423</v>
      </c>
    </row>
    <row r="35" spans="1:8" ht="13.9" x14ac:dyDescent="0.35">
      <c r="A35" s="269"/>
      <c r="B35" s="269"/>
      <c r="C35" s="269"/>
      <c r="D35" s="269"/>
      <c r="E35" s="171"/>
      <c r="F35" s="171"/>
      <c r="G35" s="171"/>
      <c r="H35" s="171"/>
    </row>
    <row r="36" spans="1:8" ht="13.9" x14ac:dyDescent="0.4">
      <c r="A36" s="268" t="s">
        <v>470</v>
      </c>
      <c r="B36" s="268"/>
      <c r="C36" s="268"/>
      <c r="D36" s="268"/>
      <c r="E36" s="172">
        <f>ROUND(LOGEST(G12:G21,A12:A21,TRUE, TRUE)-1,3)</f>
        <v>0.10299999999999999</v>
      </c>
      <c r="F36" s="172">
        <f>ROUND(LOGEST($H$12:$H$21,$A$12:$A$21,TRUE, TRUE)-1,3)</f>
        <v>-6.0999999999999999E-2</v>
      </c>
      <c r="G36" s="173">
        <f>RSQ(LN(G$12:G$21),$A$12:$A$21)</f>
        <v>0.93063576820344696</v>
      </c>
      <c r="H36" s="173">
        <f>RSQ(LN($H$12:$H$21),$A$12:$A$21)</f>
        <v>0.49847203923222055</v>
      </c>
    </row>
    <row r="37" spans="1:8" ht="13.9" x14ac:dyDescent="0.4">
      <c r="A37" s="268"/>
      <c r="B37" s="268"/>
      <c r="C37" s="268"/>
      <c r="D37" s="268"/>
      <c r="E37" s="172"/>
      <c r="F37" s="172"/>
      <c r="G37" s="173"/>
      <c r="H37" s="173"/>
    </row>
    <row r="38" spans="1:8" ht="13.9" x14ac:dyDescent="0.4">
      <c r="A38" s="268" t="s">
        <v>471</v>
      </c>
      <c r="B38" s="268"/>
      <c r="C38" s="268"/>
      <c r="D38" s="268"/>
      <c r="E38" s="172">
        <f>ROUND(LOGEST(G$14:G$21,$A$14:$A$21,TRUE, TRUE)-1,3)</f>
        <v>0.107</v>
      </c>
      <c r="F38" s="172">
        <f>ROUND(LOGEST($H$14:$H$21,$A$14:$A$21,TRUE, TRUE)-1,3)</f>
        <v>-8.2000000000000003E-2</v>
      </c>
      <c r="G38" s="173">
        <f>RSQ(LN(G$14:G$21),$A$14:$A$21)</f>
        <v>0.88251810946731635</v>
      </c>
      <c r="H38" s="173">
        <f>RSQ(LN($H$14:$H$21),$A$14:$A$21)</f>
        <v>0.58474701954739805</v>
      </c>
    </row>
    <row r="39" spans="1:8" ht="13.9" x14ac:dyDescent="0.35">
      <c r="A39" s="269"/>
      <c r="B39" s="269"/>
      <c r="C39" s="269"/>
      <c r="D39" s="269"/>
      <c r="E39" s="172"/>
      <c r="F39" s="172"/>
      <c r="G39" s="173"/>
      <c r="H39" s="173"/>
    </row>
    <row r="40" spans="1:8" ht="13.9" x14ac:dyDescent="0.4">
      <c r="A40" s="268" t="s">
        <v>472</v>
      </c>
      <c r="B40" s="268"/>
      <c r="C40" s="268"/>
      <c r="D40" s="268"/>
      <c r="E40" s="172">
        <f>ROUND(LOGEST(G$16:G$21,$A$16:$A$21,TRUE, TRUE)-1,3)</f>
        <v>0.13900000000000001</v>
      </c>
      <c r="F40" s="172">
        <f>ROUND(LOGEST($H$16:$H$21,$A$16:$A$21,TRUE, TRUE)-1,3)</f>
        <v>-0.13</v>
      </c>
      <c r="G40" s="173">
        <f>RSQ(LN(G$16:G$21),$A$16:$A$21)</f>
        <v>0.89938119396427774</v>
      </c>
      <c r="H40" s="173">
        <f>RSQ(LN($H$16:$H$21),$A$16:$A$21)</f>
        <v>0.89105866992817817</v>
      </c>
    </row>
    <row r="41" spans="1:8" x14ac:dyDescent="0.35">
      <c r="A41" s="269"/>
      <c r="B41" s="269"/>
      <c r="C41" s="269"/>
      <c r="D41" s="269"/>
    </row>
    <row r="42" spans="1:8" ht="13.9" x14ac:dyDescent="0.4">
      <c r="A42" s="268" t="s">
        <v>473</v>
      </c>
      <c r="B42" s="268"/>
      <c r="C42" s="268"/>
      <c r="D42" s="268"/>
      <c r="E42" s="172">
        <f>DZ_INPUTS!B41</f>
        <v>7.4999999999999997E-2</v>
      </c>
      <c r="F42" s="172">
        <f>DZ_INPUTS!C41</f>
        <v>-6.5000000000000002E-2</v>
      </c>
    </row>
    <row r="44" spans="1:8" ht="13.9" x14ac:dyDescent="0.4">
      <c r="A44" s="174" t="s">
        <v>474</v>
      </c>
    </row>
    <row r="45" spans="1:8" ht="13.9" x14ac:dyDescent="0.4">
      <c r="A45" s="174" t="s">
        <v>475</v>
      </c>
    </row>
    <row r="46" spans="1:8" ht="13.9" x14ac:dyDescent="0.4">
      <c r="A46" s="268" t="s">
        <v>476</v>
      </c>
      <c r="B46" s="268"/>
      <c r="C46" s="268"/>
      <c r="D46" s="268"/>
    </row>
    <row r="47" spans="1:8" ht="13.9" x14ac:dyDescent="0.4">
      <c r="A47" s="174" t="s">
        <v>477</v>
      </c>
    </row>
  </sheetData>
  <mergeCells count="30">
    <mergeCell ref="A46:D46"/>
    <mergeCell ref="A33:D33"/>
    <mergeCell ref="G33:H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32:D32"/>
    <mergeCell ref="A7:H7"/>
    <mergeCell ref="A23:C23"/>
    <mergeCell ref="G23:H23"/>
    <mergeCell ref="A24:C24"/>
    <mergeCell ref="A25:C25"/>
    <mergeCell ref="A26:D26"/>
    <mergeCell ref="A27:D27"/>
    <mergeCell ref="A28:D28"/>
    <mergeCell ref="A29:D29"/>
    <mergeCell ref="A30:D30"/>
    <mergeCell ref="A31:D31"/>
    <mergeCell ref="A6:H6"/>
    <mergeCell ref="A1:H1"/>
    <mergeCell ref="A2:H2"/>
    <mergeCell ref="A3:H3"/>
    <mergeCell ref="A4:H4"/>
    <mergeCell ref="A5:H5"/>
  </mergeCells>
  <printOptions horizontalCentered="1"/>
  <pageMargins left="0.25" right="0.25" top="0.75" bottom="0.75" header="0.3" footer="0.3"/>
  <pageSetup firstPageNumber="0" orientation="portrait" useFirstPageNumber="1" r:id="rId1"/>
  <headerFooter>
    <oddHeader>&amp;L&amp;"Times New Roman"&amp;9INSURANCE SERVICES OFFICE, INC.</oddHeader>
    <oddFooter>&amp;C&amp;"Times New Roman"&amp;9© Insurance Services Office, Inc., 2022        		OREGON        BP-2021-RLA1&amp;R&amp;"Times New Roman"&amp;9&amp;A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F94084-1176-4C87-BD71-BD37BE7350C4}">
  <sheetPr>
    <pageSetUpPr fitToPage="1"/>
  </sheetPr>
  <dimension ref="A1:I47"/>
  <sheetViews>
    <sheetView zoomScale="90" zoomScaleNormal="90" workbookViewId="0">
      <selection sqref="A1:H1"/>
    </sheetView>
  </sheetViews>
  <sheetFormatPr defaultColWidth="9.1328125" defaultRowHeight="13.5" x14ac:dyDescent="0.35"/>
  <cols>
    <col min="1" max="1" width="7.73046875" style="185" customWidth="1"/>
    <col min="2" max="2" width="12.265625" style="185" customWidth="1"/>
    <col min="3" max="3" width="11.59765625" style="185" customWidth="1"/>
    <col min="4" max="4" width="10.73046875" style="185" customWidth="1"/>
    <col min="5" max="5" width="12" style="185" customWidth="1"/>
    <col min="6" max="6" width="9.86328125" style="185" customWidth="1"/>
    <col min="7" max="7" width="10.265625" style="185" customWidth="1"/>
    <col min="8" max="8" width="11.73046875" style="185" customWidth="1"/>
    <col min="9" max="10" width="9.1328125" style="185"/>
    <col min="11" max="11" width="10.265625" style="185" bestFit="1" customWidth="1"/>
    <col min="12" max="16384" width="9.1328125" style="185"/>
  </cols>
  <sheetData>
    <row r="1" spans="1:8" ht="13.9" x14ac:dyDescent="0.4">
      <c r="A1" s="266" t="str">
        <f>UPPER(state)</f>
        <v>OREGON</v>
      </c>
      <c r="B1" s="266"/>
      <c r="C1" s="266"/>
      <c r="D1" s="266"/>
      <c r="E1" s="266"/>
      <c r="F1" s="266"/>
      <c r="G1" s="266"/>
      <c r="H1" s="266"/>
    </row>
    <row r="2" spans="1:8" ht="13.9" x14ac:dyDescent="0.4">
      <c r="A2" s="266" t="s">
        <v>153</v>
      </c>
      <c r="B2" s="266"/>
      <c r="C2" s="266"/>
      <c r="D2" s="266"/>
      <c r="E2" s="266"/>
      <c r="F2" s="266"/>
      <c r="G2" s="266"/>
      <c r="H2" s="266"/>
    </row>
    <row r="3" spans="1:8" ht="13.9" x14ac:dyDescent="0.4">
      <c r="A3" s="266"/>
      <c r="B3" s="266"/>
      <c r="C3" s="266"/>
      <c r="D3" s="266"/>
      <c r="E3" s="266"/>
      <c r="F3" s="266"/>
      <c r="G3" s="266"/>
      <c r="H3" s="266"/>
    </row>
    <row r="4" spans="1:8" ht="13.9" x14ac:dyDescent="0.4">
      <c r="A4" s="266" t="s">
        <v>478</v>
      </c>
      <c r="B4" s="266"/>
      <c r="C4" s="266"/>
      <c r="D4" s="266"/>
      <c r="E4" s="266"/>
      <c r="F4" s="266"/>
      <c r="G4" s="266"/>
      <c r="H4" s="266"/>
    </row>
    <row r="5" spans="1:8" ht="13.9" x14ac:dyDescent="0.4">
      <c r="A5" s="266"/>
      <c r="B5" s="266"/>
      <c r="C5" s="266"/>
      <c r="D5" s="266"/>
      <c r="E5" s="266"/>
      <c r="F5" s="266"/>
      <c r="G5" s="266"/>
      <c r="H5" s="266"/>
    </row>
    <row r="6" spans="1:8" ht="13.9" x14ac:dyDescent="0.4">
      <c r="A6" s="266" t="s">
        <v>479</v>
      </c>
      <c r="B6" s="266"/>
      <c r="C6" s="266"/>
      <c r="D6" s="266"/>
      <c r="E6" s="266"/>
      <c r="F6" s="266"/>
      <c r="G6" s="266"/>
      <c r="H6" s="266"/>
    </row>
    <row r="7" spans="1:8" ht="13.9" x14ac:dyDescent="0.4">
      <c r="A7" s="266" t="s">
        <v>407</v>
      </c>
      <c r="B7" s="266"/>
      <c r="C7" s="266"/>
      <c r="D7" s="266"/>
      <c r="E7" s="266"/>
      <c r="F7" s="266"/>
      <c r="G7" s="266"/>
      <c r="H7" s="266"/>
    </row>
    <row r="9" spans="1:8" ht="13.9" x14ac:dyDescent="0.4">
      <c r="C9" s="38" t="s">
        <v>466</v>
      </c>
      <c r="D9" s="38" t="s">
        <v>466</v>
      </c>
      <c r="E9" s="38"/>
      <c r="F9" s="38" t="s">
        <v>408</v>
      </c>
      <c r="G9" s="38" t="s">
        <v>408</v>
      </c>
      <c r="H9" s="38"/>
    </row>
    <row r="10" spans="1:8" ht="13.9" x14ac:dyDescent="0.4">
      <c r="A10" s="38" t="s">
        <v>409</v>
      </c>
      <c r="B10" s="38" t="s">
        <v>410</v>
      </c>
      <c r="C10" s="38" t="s">
        <v>288</v>
      </c>
      <c r="D10" s="38" t="s">
        <v>411</v>
      </c>
      <c r="E10" s="38" t="s">
        <v>466</v>
      </c>
      <c r="F10" s="38" t="s">
        <v>413</v>
      </c>
      <c r="G10" s="38" t="s">
        <v>413</v>
      </c>
      <c r="H10" s="38" t="s">
        <v>414</v>
      </c>
    </row>
    <row r="11" spans="1:8" ht="13.9" x14ac:dyDescent="0.4">
      <c r="A11" s="164" t="s">
        <v>109</v>
      </c>
      <c r="B11" s="164" t="s">
        <v>415</v>
      </c>
      <c r="C11" s="164" t="s">
        <v>416</v>
      </c>
      <c r="D11" s="164" t="s">
        <v>467</v>
      </c>
      <c r="E11" s="164" t="s">
        <v>468</v>
      </c>
      <c r="F11" s="164" t="s">
        <v>418</v>
      </c>
      <c r="G11" s="164" t="s">
        <v>419</v>
      </c>
      <c r="H11" s="164" t="s">
        <v>469</v>
      </c>
    </row>
    <row r="12" spans="1:8" ht="13.9" x14ac:dyDescent="0.4">
      <c r="A12" s="28">
        <v>2011</v>
      </c>
      <c r="B12" s="165">
        <v>808888069.15094805</v>
      </c>
      <c r="C12" s="165">
        <v>178628268</v>
      </c>
      <c r="D12" s="165">
        <v>81607771.430000007</v>
      </c>
      <c r="E12" s="165">
        <v>10033</v>
      </c>
      <c r="F12" s="166">
        <f>C12/E12</f>
        <v>17804.073357918867</v>
      </c>
      <c r="G12" s="166">
        <f>D12/$E12</f>
        <v>8133.9351569819601</v>
      </c>
      <c r="H12" s="167">
        <f t="shared" ref="H12:H21" si="0">E12/B12*100000</f>
        <v>1.2403446635739319</v>
      </c>
    </row>
    <row r="13" spans="1:8" ht="13.9" x14ac:dyDescent="0.4">
      <c r="A13" s="28">
        <v>2012</v>
      </c>
      <c r="B13" s="165">
        <v>765226618.44214201</v>
      </c>
      <c r="C13" s="165">
        <v>141368055.66</v>
      </c>
      <c r="D13" s="165">
        <v>58844958.96989999</v>
      </c>
      <c r="E13" s="165">
        <v>7335.3279999999995</v>
      </c>
      <c r="F13" s="166">
        <f t="shared" ref="F13:F21" si="1">C13/E13</f>
        <v>19272.220091589636</v>
      </c>
      <c r="G13" s="166">
        <f t="shared" ref="G13:G21" si="2">D13/$E13</f>
        <v>8022.1305672902417</v>
      </c>
      <c r="H13" s="167">
        <f t="shared" si="0"/>
        <v>0.95858244122941672</v>
      </c>
    </row>
    <row r="14" spans="1:8" ht="13.9" x14ac:dyDescent="0.4">
      <c r="A14" s="28">
        <v>2013</v>
      </c>
      <c r="B14" s="165">
        <v>724221216.65304506</v>
      </c>
      <c r="C14" s="165">
        <v>118874162.01499999</v>
      </c>
      <c r="D14" s="165">
        <v>54331006.356199995</v>
      </c>
      <c r="E14" s="165">
        <v>5512.0020000000004</v>
      </c>
      <c r="F14" s="166">
        <f t="shared" si="1"/>
        <v>21566.422148431728</v>
      </c>
      <c r="G14" s="166">
        <f t="shared" si="2"/>
        <v>9856.8553415256356</v>
      </c>
      <c r="H14" s="167">
        <f t="shared" si="0"/>
        <v>0.76109369254237857</v>
      </c>
    </row>
    <row r="15" spans="1:8" ht="13.9" x14ac:dyDescent="0.4">
      <c r="A15" s="28">
        <v>2014</v>
      </c>
      <c r="B15" s="165">
        <v>954264275.20178199</v>
      </c>
      <c r="C15" s="165">
        <v>167076982.199</v>
      </c>
      <c r="D15" s="165">
        <v>71332517.576209992</v>
      </c>
      <c r="E15" s="165">
        <v>6892.46</v>
      </c>
      <c r="F15" s="166">
        <f t="shared" si="1"/>
        <v>24240.544333808248</v>
      </c>
      <c r="G15" s="166">
        <f t="shared" si="2"/>
        <v>10349.355321062436</v>
      </c>
      <c r="H15" s="167">
        <f t="shared" si="0"/>
        <v>0.72227999927405528</v>
      </c>
    </row>
    <row r="16" spans="1:8" ht="13.9" x14ac:dyDescent="0.4">
      <c r="A16" s="28">
        <v>2015</v>
      </c>
      <c r="B16" s="165">
        <v>1084900161.12851</v>
      </c>
      <c r="C16" s="165">
        <v>167584245.435</v>
      </c>
      <c r="D16" s="165">
        <v>67914138.30675</v>
      </c>
      <c r="E16" s="165">
        <v>6134.6439999999993</v>
      </c>
      <c r="F16" s="166">
        <f t="shared" si="1"/>
        <v>27317.680607872277</v>
      </c>
      <c r="G16" s="166">
        <f t="shared" si="2"/>
        <v>11070.591595331369</v>
      </c>
      <c r="H16" s="167">
        <f t="shared" si="0"/>
        <v>0.56545700883837646</v>
      </c>
    </row>
    <row r="17" spans="1:9" ht="13.9" x14ac:dyDescent="0.4">
      <c r="A17" s="28">
        <v>2016</v>
      </c>
      <c r="B17" s="165">
        <v>977910040.34275401</v>
      </c>
      <c r="C17" s="165">
        <v>137724980.32800001</v>
      </c>
      <c r="D17" s="165">
        <v>60943123.852649994</v>
      </c>
      <c r="E17" s="165">
        <v>5191.6249999999991</v>
      </c>
      <c r="F17" s="166">
        <f t="shared" si="1"/>
        <v>26528.299006187855</v>
      </c>
      <c r="G17" s="166">
        <f t="shared" si="2"/>
        <v>11738.73765009029</v>
      </c>
      <c r="H17" s="167">
        <f t="shared" si="0"/>
        <v>0.53088983503844112</v>
      </c>
    </row>
    <row r="18" spans="1:9" ht="13.9" x14ac:dyDescent="0.4">
      <c r="A18" s="28">
        <v>2017</v>
      </c>
      <c r="B18" s="165">
        <v>1020093607.3599499</v>
      </c>
      <c r="C18" s="165">
        <v>139285720.889</v>
      </c>
      <c r="D18" s="165">
        <v>66364449.201749995</v>
      </c>
      <c r="E18" s="165">
        <v>4742.1639999999998</v>
      </c>
      <c r="F18" s="166">
        <f t="shared" si="1"/>
        <v>29371.763795811366</v>
      </c>
      <c r="G18" s="166">
        <f t="shared" si="2"/>
        <v>13994.549577313226</v>
      </c>
      <c r="H18" s="167">
        <f t="shared" si="0"/>
        <v>0.46487537670909856</v>
      </c>
    </row>
    <row r="19" spans="1:9" ht="13.9" x14ac:dyDescent="0.4">
      <c r="A19" s="28">
        <v>2018</v>
      </c>
      <c r="B19" s="165">
        <v>1131890294.01582</v>
      </c>
      <c r="C19" s="165">
        <v>165408298.09400001</v>
      </c>
      <c r="D19" s="165">
        <v>79639575.904980004</v>
      </c>
      <c r="E19" s="165">
        <v>4569.5649999999996</v>
      </c>
      <c r="F19" s="166">
        <f t="shared" si="1"/>
        <v>36197.821476223675</v>
      </c>
      <c r="G19" s="166">
        <f t="shared" si="2"/>
        <v>17428.261969132731</v>
      </c>
      <c r="H19" s="167">
        <f t="shared" si="0"/>
        <v>0.40371094479374808</v>
      </c>
    </row>
    <row r="20" spans="1:9" ht="13.9" x14ac:dyDescent="0.4">
      <c r="A20" s="28">
        <v>2019</v>
      </c>
      <c r="B20" s="165">
        <v>1129662147.9520199</v>
      </c>
      <c r="C20" s="165">
        <v>159230471.558</v>
      </c>
      <c r="D20" s="165">
        <v>98616638.448599994</v>
      </c>
      <c r="E20" s="165">
        <v>4373.451</v>
      </c>
      <c r="F20" s="166">
        <f t="shared" si="1"/>
        <v>36408.427019760828</v>
      </c>
      <c r="G20" s="166">
        <f t="shared" si="2"/>
        <v>22548.929540676228</v>
      </c>
      <c r="H20" s="167">
        <f t="shared" si="0"/>
        <v>0.38714681269339596</v>
      </c>
    </row>
    <row r="21" spans="1:9" ht="13.9" x14ac:dyDescent="0.4">
      <c r="A21" s="28">
        <v>2020</v>
      </c>
      <c r="B21" s="165">
        <v>1222619419.14623</v>
      </c>
      <c r="C21" s="165">
        <v>179796392.528</v>
      </c>
      <c r="D21" s="165">
        <v>128197150.06898001</v>
      </c>
      <c r="E21" s="165">
        <v>4131.75</v>
      </c>
      <c r="F21" s="166">
        <f t="shared" si="1"/>
        <v>43515.796582077812</v>
      </c>
      <c r="G21" s="166">
        <f t="shared" si="2"/>
        <v>31027.325000055669</v>
      </c>
      <c r="H21" s="167">
        <f t="shared" si="0"/>
        <v>0.3379424484264491</v>
      </c>
    </row>
    <row r="23" spans="1:9" ht="13.9" x14ac:dyDescent="0.4">
      <c r="A23" s="267" t="s">
        <v>421</v>
      </c>
      <c r="B23" s="267"/>
      <c r="C23" s="267"/>
      <c r="G23" s="270" t="s">
        <v>422</v>
      </c>
      <c r="H23" s="270"/>
    </row>
    <row r="24" spans="1:9" ht="13.9" x14ac:dyDescent="0.35">
      <c r="A24" s="271"/>
      <c r="B24" s="271"/>
      <c r="C24" s="271"/>
      <c r="E24" s="171" t="s">
        <v>366</v>
      </c>
      <c r="F24" s="171" t="s">
        <v>372</v>
      </c>
      <c r="G24" s="171" t="s">
        <v>366</v>
      </c>
      <c r="H24" s="171" t="s">
        <v>423</v>
      </c>
    </row>
    <row r="25" spans="1:9" ht="13.9" x14ac:dyDescent="0.35">
      <c r="A25" s="271"/>
      <c r="B25" s="271"/>
      <c r="C25" s="271"/>
      <c r="E25" s="171"/>
      <c r="F25" s="171"/>
      <c r="G25" s="171"/>
      <c r="H25" s="171"/>
    </row>
    <row r="26" spans="1:9" ht="13.9" x14ac:dyDescent="0.4">
      <c r="A26" s="268" t="s">
        <v>470</v>
      </c>
      <c r="B26" s="268"/>
      <c r="C26" s="268"/>
      <c r="D26" s="268"/>
      <c r="E26" s="172">
        <f>ROUND(LOGEST(F12:F21,A12:A21,TRUE, TRUE)-1,3)</f>
        <v>9.9000000000000005E-2</v>
      </c>
      <c r="F26" s="172">
        <f>ROUND(LOGEST(H12:H21,A12:A21,TRUE, TRUE)-1,3)</f>
        <v>-0.128</v>
      </c>
      <c r="G26" s="173">
        <f>RSQ(LN(F12:F21),A12:A21)</f>
        <v>0.97501743537064134</v>
      </c>
      <c r="H26" s="173">
        <f>RSQ(LN(H12:H21),A12:A21)</f>
        <v>0.97087141901791307</v>
      </c>
      <c r="I26" s="186"/>
    </row>
    <row r="27" spans="1:9" ht="13.9" x14ac:dyDescent="0.4">
      <c r="A27" s="268"/>
      <c r="B27" s="268"/>
      <c r="C27" s="268"/>
      <c r="D27" s="268"/>
      <c r="E27" s="172"/>
      <c r="F27" s="172"/>
      <c r="G27" s="173"/>
      <c r="H27" s="173"/>
    </row>
    <row r="28" spans="1:9" ht="13.9" x14ac:dyDescent="0.4">
      <c r="A28" s="268" t="s">
        <v>471</v>
      </c>
      <c r="B28" s="268"/>
      <c r="C28" s="268"/>
      <c r="D28" s="268"/>
      <c r="E28" s="172">
        <f>ROUND(LOGEST(F14:F21,A14:A21,TRUE, TRUE)-1,3)</f>
        <v>9.9000000000000005E-2</v>
      </c>
      <c r="F28" s="172">
        <f>ROUND(LOGEST(H14:H21,A14:A21,TRUE, TRUE)-1,3)</f>
        <v>-0.112</v>
      </c>
      <c r="G28" s="173">
        <f>RSQ(LN(F14:F21),A14:A21)</f>
        <v>0.95178689553408313</v>
      </c>
      <c r="H28" s="173">
        <f>RSQ(LN(H14:H21),A14:A21)</f>
        <v>0.98062049371647164</v>
      </c>
    </row>
    <row r="29" spans="1:9" ht="13.9" x14ac:dyDescent="0.35">
      <c r="A29" s="271"/>
      <c r="B29" s="271"/>
      <c r="C29" s="271"/>
      <c r="D29" s="271"/>
      <c r="E29" s="172"/>
      <c r="F29" s="172"/>
      <c r="G29" s="173"/>
      <c r="H29" s="173"/>
    </row>
    <row r="30" spans="1:9" ht="13.9" x14ac:dyDescent="0.4">
      <c r="A30" s="268" t="s">
        <v>472</v>
      </c>
      <c r="B30" s="268"/>
      <c r="C30" s="268"/>
      <c r="D30" s="268"/>
      <c r="E30" s="172">
        <f>ROUND(LOGEST(F16:F21,A16:A21,TRUE, TRUE)-1,3)</f>
        <v>0.105</v>
      </c>
      <c r="F30" s="172">
        <f>ROUND(LOGEST(H16:H21,A16:A21,TRUE, TRUE)-1,3)</f>
        <v>-9.9000000000000005E-2</v>
      </c>
      <c r="G30" s="173">
        <f>RSQ(LN(F16:F21),A16:A21)</f>
        <v>0.90863323495557069</v>
      </c>
      <c r="H30" s="173">
        <f>RSQ(LN(H16:H21),A16:A21)</f>
        <v>0.9844994947100153</v>
      </c>
    </row>
    <row r="31" spans="1:9" x14ac:dyDescent="0.35">
      <c r="A31" s="271"/>
      <c r="B31" s="271"/>
      <c r="C31" s="271"/>
      <c r="D31" s="271"/>
    </row>
    <row r="32" spans="1:9" x14ac:dyDescent="0.35">
      <c r="A32" s="271"/>
      <c r="B32" s="271"/>
      <c r="C32" s="271"/>
      <c r="D32" s="271"/>
    </row>
    <row r="33" spans="1:8" ht="13.9" x14ac:dyDescent="0.4">
      <c r="A33" s="267" t="s">
        <v>427</v>
      </c>
      <c r="B33" s="267"/>
      <c r="C33" s="267"/>
      <c r="D33" s="267"/>
      <c r="G33" s="270" t="s">
        <v>422</v>
      </c>
      <c r="H33" s="270"/>
    </row>
    <row r="34" spans="1:8" ht="13.9" x14ac:dyDescent="0.35">
      <c r="A34" s="271"/>
      <c r="B34" s="271"/>
      <c r="C34" s="271"/>
      <c r="D34" s="271"/>
      <c r="E34" s="171" t="s">
        <v>366</v>
      </c>
      <c r="F34" s="171" t="s">
        <v>372</v>
      </c>
      <c r="G34" s="171" t="s">
        <v>366</v>
      </c>
      <c r="H34" s="171" t="s">
        <v>423</v>
      </c>
    </row>
    <row r="35" spans="1:8" ht="13.9" x14ac:dyDescent="0.35">
      <c r="A35" s="271"/>
      <c r="B35" s="271"/>
      <c r="C35" s="271"/>
      <c r="D35" s="271"/>
      <c r="E35" s="171"/>
      <c r="F35" s="171"/>
      <c r="G35" s="171"/>
      <c r="H35" s="171"/>
    </row>
    <row r="36" spans="1:8" ht="13.9" x14ac:dyDescent="0.4">
      <c r="A36" s="268" t="s">
        <v>470</v>
      </c>
      <c r="B36" s="268"/>
      <c r="C36" s="268"/>
      <c r="D36" s="268"/>
      <c r="E36" s="172">
        <f>ROUND(LOGEST(G12:G21,A12:A21,TRUE, TRUE)-1,3)</f>
        <v>0.15</v>
      </c>
      <c r="F36" s="172">
        <f>ROUND(LOGEST($H$12:$H$21,$A$12:$A$21,TRUE, TRUE)-1,3)</f>
        <v>-0.128</v>
      </c>
      <c r="G36" s="173">
        <f>RSQ(LN(G$12:G$21),$A$12:$A$21)</f>
        <v>0.91400538180467561</v>
      </c>
      <c r="H36" s="173">
        <f>RSQ(LN($H$12:$H$21),$A$12:$A$21)</f>
        <v>0.97087141901791307</v>
      </c>
    </row>
    <row r="37" spans="1:8" ht="13.9" x14ac:dyDescent="0.4">
      <c r="A37" s="268"/>
      <c r="B37" s="268"/>
      <c r="C37" s="268"/>
      <c r="D37" s="268"/>
      <c r="E37" s="172"/>
      <c r="F37" s="172"/>
      <c r="G37" s="173"/>
      <c r="H37" s="173"/>
    </row>
    <row r="38" spans="1:8" ht="13.9" x14ac:dyDescent="0.4">
      <c r="A38" s="268" t="s">
        <v>471</v>
      </c>
      <c r="B38" s="268"/>
      <c r="C38" s="268"/>
      <c r="D38" s="268"/>
      <c r="E38" s="172">
        <f>ROUND(LOGEST(G$14:G$21,$A$14:$A$21,TRUE, TRUE)-1,3)</f>
        <v>0.17399999999999999</v>
      </c>
      <c r="F38" s="172">
        <f>ROUND(LOGEST($H$14:$H$21,$A$14:$A$21,TRUE, TRUE)-1,3)</f>
        <v>-0.112</v>
      </c>
      <c r="G38" s="173">
        <f>RSQ(LN(G$14:G$21),$A$14:$A$21)</f>
        <v>0.90882546114463003</v>
      </c>
      <c r="H38" s="173">
        <f>RSQ(LN($H$14:$H$21),$A$14:$A$21)</f>
        <v>0.98062049371647164</v>
      </c>
    </row>
    <row r="39" spans="1:8" ht="13.9" x14ac:dyDescent="0.35">
      <c r="A39" s="271"/>
      <c r="B39" s="271"/>
      <c r="C39" s="271"/>
      <c r="D39" s="271"/>
      <c r="E39" s="172"/>
      <c r="F39" s="172"/>
      <c r="G39" s="173"/>
      <c r="H39" s="173"/>
    </row>
    <row r="40" spans="1:8" ht="13.9" x14ac:dyDescent="0.4">
      <c r="A40" s="268" t="s">
        <v>472</v>
      </c>
      <c r="B40" s="268"/>
      <c r="C40" s="268"/>
      <c r="D40" s="268"/>
      <c r="E40" s="172">
        <f>ROUND(LOGEST(G$16:G$21,$A$16:$A$21,TRUE, TRUE)-1,3)</f>
        <v>0.23300000000000001</v>
      </c>
      <c r="F40" s="172">
        <f>ROUND(LOGEST($H$16:$H$21,$A$16:$A$21,TRUE, TRUE)-1,3)</f>
        <v>-9.9000000000000005E-2</v>
      </c>
      <c r="G40" s="173">
        <f>RSQ(LN(G$16:G$21),$A$16:$A$21)</f>
        <v>0.95943344322786206</v>
      </c>
      <c r="H40" s="173">
        <f>RSQ(LN($H$16:$H$21),$A$16:$A$21)</f>
        <v>0.9844994947100153</v>
      </c>
    </row>
    <row r="41" spans="1:8" x14ac:dyDescent="0.35">
      <c r="A41" s="271"/>
      <c r="B41" s="271"/>
      <c r="C41" s="271"/>
      <c r="D41" s="271"/>
    </row>
    <row r="42" spans="1:8" ht="13.9" x14ac:dyDescent="0.4">
      <c r="A42" s="268" t="s">
        <v>473</v>
      </c>
      <c r="B42" s="268"/>
      <c r="C42" s="268"/>
      <c r="D42" s="268"/>
      <c r="E42" s="172">
        <f>DZ_INPUTS!B42</f>
        <v>0.12</v>
      </c>
      <c r="F42" s="172">
        <f>DZ_INPUTS!C42</f>
        <v>-0.11</v>
      </c>
    </row>
    <row r="44" spans="1:8" ht="13.9" x14ac:dyDescent="0.4">
      <c r="A44" s="174" t="s">
        <v>474</v>
      </c>
    </row>
    <row r="45" spans="1:8" ht="13.9" x14ac:dyDescent="0.4">
      <c r="A45" s="174" t="s">
        <v>475</v>
      </c>
    </row>
    <row r="46" spans="1:8" ht="13.9" x14ac:dyDescent="0.4">
      <c r="A46" s="268" t="s">
        <v>476</v>
      </c>
      <c r="B46" s="268"/>
      <c r="C46" s="268"/>
      <c r="D46" s="268"/>
    </row>
    <row r="47" spans="1:8" ht="13.9" x14ac:dyDescent="0.4">
      <c r="A47" s="174" t="s">
        <v>477</v>
      </c>
    </row>
  </sheetData>
  <mergeCells count="30">
    <mergeCell ref="A46:D46"/>
    <mergeCell ref="A33:D33"/>
    <mergeCell ref="G33:H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32:D32"/>
    <mergeCell ref="A7:H7"/>
    <mergeCell ref="A23:C23"/>
    <mergeCell ref="G23:H23"/>
    <mergeCell ref="A24:C24"/>
    <mergeCell ref="A25:C25"/>
    <mergeCell ref="A26:D26"/>
    <mergeCell ref="A27:D27"/>
    <mergeCell ref="A28:D28"/>
    <mergeCell ref="A29:D29"/>
    <mergeCell ref="A30:D30"/>
    <mergeCell ref="A31:D31"/>
    <mergeCell ref="A6:H6"/>
    <mergeCell ref="A1:H1"/>
    <mergeCell ref="A2:H2"/>
    <mergeCell ref="A3:H3"/>
    <mergeCell ref="A4:H4"/>
    <mergeCell ref="A5:H5"/>
  </mergeCells>
  <printOptions horizontalCentered="1"/>
  <pageMargins left="0.25" right="0.25" top="0.75" bottom="0.75" header="0.3" footer="0.3"/>
  <pageSetup firstPageNumber="0" orientation="portrait" useFirstPageNumber="1" r:id="rId1"/>
  <headerFooter>
    <oddHeader>&amp;L&amp;"Times New Roman"&amp;9INSURANCE SERVICES OFFICE, INC.</oddHeader>
    <oddFooter>&amp;C&amp;"Times New Roman"&amp;9© Insurance Services Office, Inc., 2022        		OREGON        BP-2021-RLA1&amp;R&amp;"Times New Roman"&amp;9&amp;A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2A7FC-3538-4727-9F22-9EB7696634C3}">
  <sheetPr>
    <pageSetUpPr fitToPage="1"/>
  </sheetPr>
  <dimension ref="A1:I47"/>
  <sheetViews>
    <sheetView zoomScale="90" zoomScaleNormal="90" workbookViewId="0">
      <selection sqref="A1:H1"/>
    </sheetView>
  </sheetViews>
  <sheetFormatPr defaultRowHeight="12.75" x14ac:dyDescent="0.35"/>
  <cols>
    <col min="1" max="1" width="9.265625" style="84" customWidth="1"/>
    <col min="2" max="2" width="14.3984375" style="84" customWidth="1"/>
    <col min="3" max="3" width="13.73046875" style="84" customWidth="1"/>
    <col min="4" max="4" width="13" style="84" customWidth="1"/>
    <col min="5" max="5" width="13.73046875" style="84" customWidth="1"/>
    <col min="6" max="6" width="11.86328125" style="84" customWidth="1"/>
    <col min="7" max="7" width="13.265625" style="84" bestFit="1" customWidth="1"/>
    <col min="8" max="8" width="12" style="84" customWidth="1"/>
    <col min="9" max="16384" width="9.06640625" style="84"/>
  </cols>
  <sheetData>
    <row r="1" spans="1:8" ht="13.9" x14ac:dyDescent="0.4">
      <c r="A1" s="266" t="str">
        <f>UPPER(state)</f>
        <v>OREGON</v>
      </c>
      <c r="B1" s="266"/>
      <c r="C1" s="266"/>
      <c r="D1" s="266"/>
      <c r="E1" s="266"/>
      <c r="F1" s="266"/>
      <c r="G1" s="266"/>
      <c r="H1" s="266"/>
    </row>
    <row r="2" spans="1:8" ht="13.9" x14ac:dyDescent="0.4">
      <c r="A2" s="266" t="s">
        <v>153</v>
      </c>
      <c r="B2" s="266"/>
      <c r="C2" s="266"/>
      <c r="D2" s="266"/>
      <c r="E2" s="266"/>
      <c r="F2" s="266"/>
      <c r="G2" s="266"/>
      <c r="H2" s="266"/>
    </row>
    <row r="3" spans="1:8" ht="13.5" x14ac:dyDescent="0.35">
      <c r="A3" s="272"/>
      <c r="B3" s="272"/>
      <c r="C3" s="272"/>
      <c r="D3" s="272"/>
      <c r="E3" s="272"/>
      <c r="F3" s="272"/>
      <c r="G3" s="272"/>
      <c r="H3" s="272"/>
    </row>
    <row r="4" spans="1:8" ht="13.9" x14ac:dyDescent="0.4">
      <c r="A4" s="266" t="s">
        <v>480</v>
      </c>
      <c r="B4" s="266"/>
      <c r="C4" s="266"/>
      <c r="D4" s="266"/>
      <c r="E4" s="266"/>
      <c r="F4" s="266"/>
      <c r="G4" s="266"/>
      <c r="H4" s="266"/>
    </row>
    <row r="5" spans="1:8" ht="13.9" x14ac:dyDescent="0.4">
      <c r="A5" s="266"/>
      <c r="B5" s="266"/>
      <c r="C5" s="266"/>
      <c r="D5" s="266"/>
      <c r="E5" s="266"/>
      <c r="F5" s="266"/>
      <c r="G5" s="266"/>
      <c r="H5" s="266"/>
    </row>
    <row r="6" spans="1:8" ht="13.9" x14ac:dyDescent="0.4">
      <c r="A6" s="266" t="s">
        <v>481</v>
      </c>
      <c r="B6" s="266"/>
      <c r="C6" s="266"/>
      <c r="D6" s="266"/>
      <c r="E6" s="266"/>
      <c r="F6" s="266"/>
      <c r="G6" s="266"/>
      <c r="H6" s="266"/>
    </row>
    <row r="7" spans="1:8" ht="13.9" x14ac:dyDescent="0.4">
      <c r="A7" s="266" t="s">
        <v>407</v>
      </c>
      <c r="B7" s="266"/>
      <c r="C7" s="266"/>
      <c r="D7" s="266"/>
      <c r="E7" s="266"/>
      <c r="F7" s="266"/>
      <c r="G7" s="266"/>
      <c r="H7" s="266"/>
    </row>
    <row r="9" spans="1:8" ht="13.9" x14ac:dyDescent="0.4">
      <c r="C9" s="38" t="s">
        <v>466</v>
      </c>
      <c r="D9" s="38" t="s">
        <v>466</v>
      </c>
      <c r="E9" s="38"/>
      <c r="F9" s="38" t="s">
        <v>408</v>
      </c>
      <c r="G9" s="38" t="s">
        <v>408</v>
      </c>
      <c r="H9" s="38"/>
    </row>
    <row r="10" spans="1:8" ht="13.9" x14ac:dyDescent="0.4">
      <c r="A10" s="38" t="s">
        <v>409</v>
      </c>
      <c r="B10" s="38" t="s">
        <v>410</v>
      </c>
      <c r="C10" s="38" t="s">
        <v>288</v>
      </c>
      <c r="D10" s="38" t="s">
        <v>411</v>
      </c>
      <c r="E10" s="38" t="s">
        <v>466</v>
      </c>
      <c r="F10" s="38" t="s">
        <v>413</v>
      </c>
      <c r="G10" s="38" t="s">
        <v>413</v>
      </c>
      <c r="H10" s="38" t="s">
        <v>414</v>
      </c>
    </row>
    <row r="11" spans="1:8" ht="13.9" x14ac:dyDescent="0.4">
      <c r="A11" s="164" t="s">
        <v>109</v>
      </c>
      <c r="B11" s="164" t="s">
        <v>415</v>
      </c>
      <c r="C11" s="164" t="s">
        <v>416</v>
      </c>
      <c r="D11" s="164" t="s">
        <v>467</v>
      </c>
      <c r="E11" s="164" t="s">
        <v>468</v>
      </c>
      <c r="F11" s="164" t="s">
        <v>418</v>
      </c>
      <c r="G11" s="164" t="s">
        <v>419</v>
      </c>
      <c r="H11" s="164" t="s">
        <v>469</v>
      </c>
    </row>
    <row r="12" spans="1:8" ht="13.9" x14ac:dyDescent="0.4">
      <c r="A12" s="28">
        <v>2011</v>
      </c>
      <c r="B12" s="165">
        <v>17130240.5609424</v>
      </c>
      <c r="C12" s="165">
        <v>20561171</v>
      </c>
      <c r="D12" s="165">
        <v>11053861.38548</v>
      </c>
      <c r="E12" s="165">
        <v>2597</v>
      </c>
      <c r="F12" s="166">
        <f>C12/E12</f>
        <v>7917.2780130920291</v>
      </c>
      <c r="G12" s="166">
        <f>D12/$E12</f>
        <v>4256.3963748479009</v>
      </c>
      <c r="H12" s="167">
        <f>E12/B12*100</f>
        <v>1.5160324169184516E-2</v>
      </c>
    </row>
    <row r="13" spans="1:8" ht="13.9" x14ac:dyDescent="0.4">
      <c r="A13" s="28">
        <v>2012</v>
      </c>
      <c r="B13" s="165">
        <v>17358237.307804201</v>
      </c>
      <c r="C13" s="165">
        <v>25340866.572000001</v>
      </c>
      <c r="D13" s="165">
        <v>12217629.410429161</v>
      </c>
      <c r="E13" s="165">
        <v>2398</v>
      </c>
      <c r="F13" s="166">
        <f t="shared" ref="F13:F21" si="0">C13/E13</f>
        <v>10567.50065554629</v>
      </c>
      <c r="G13" s="166">
        <f t="shared" ref="G13:G21" si="1">D13/$E13</f>
        <v>5094.9246915884742</v>
      </c>
      <c r="H13" s="167">
        <f t="shared" ref="H13:H21" si="2">E13/B13*100</f>
        <v>1.3814766773132361E-2</v>
      </c>
    </row>
    <row r="14" spans="1:8" ht="13.9" x14ac:dyDescent="0.4">
      <c r="A14" s="28">
        <v>2013</v>
      </c>
      <c r="B14" s="165">
        <v>19347775.440535001</v>
      </c>
      <c r="C14" s="165">
        <v>31077870.216000002</v>
      </c>
      <c r="D14" s="165">
        <v>14880155.916366639</v>
      </c>
      <c r="E14" s="165">
        <v>2393</v>
      </c>
      <c r="F14" s="166">
        <f t="shared" si="0"/>
        <v>12986.991314667783</v>
      </c>
      <c r="G14" s="166">
        <f t="shared" si="1"/>
        <v>6218.2013858615292</v>
      </c>
      <c r="H14" s="167">
        <f t="shared" si="2"/>
        <v>1.2368346983118743E-2</v>
      </c>
    </row>
    <row r="15" spans="1:8" ht="13.9" x14ac:dyDescent="0.4">
      <c r="A15" s="28">
        <v>2014</v>
      </c>
      <c r="B15" s="165">
        <v>27778147.611752901</v>
      </c>
      <c r="C15" s="165">
        <v>40127801.177999996</v>
      </c>
      <c r="D15" s="165">
        <v>20654558.992524538</v>
      </c>
      <c r="E15" s="165">
        <v>3165</v>
      </c>
      <c r="F15" s="166">
        <f t="shared" si="0"/>
        <v>12678.610166824643</v>
      </c>
      <c r="G15" s="166">
        <f t="shared" si="1"/>
        <v>6525.9270118560944</v>
      </c>
      <c r="H15" s="167">
        <f t="shared" si="2"/>
        <v>1.1393848302040458E-2</v>
      </c>
    </row>
    <row r="16" spans="1:8" ht="13.9" x14ac:dyDescent="0.4">
      <c r="A16" s="28">
        <v>2015</v>
      </c>
      <c r="B16" s="165">
        <v>34037482.680365197</v>
      </c>
      <c r="C16" s="165">
        <v>53670423.204000004</v>
      </c>
      <c r="D16" s="165">
        <v>25749703.641316321</v>
      </c>
      <c r="E16" s="165">
        <v>3983</v>
      </c>
      <c r="F16" s="166">
        <f t="shared" si="0"/>
        <v>13474.874015566156</v>
      </c>
      <c r="G16" s="166">
        <f t="shared" si="1"/>
        <v>6464.9017427357066</v>
      </c>
      <c r="H16" s="167">
        <f t="shared" si="2"/>
        <v>1.170180544020556E-2</v>
      </c>
    </row>
    <row r="17" spans="1:9" ht="13.9" x14ac:dyDescent="0.4">
      <c r="A17" s="28">
        <v>2016</v>
      </c>
      <c r="B17" s="165">
        <v>38535232.171508402</v>
      </c>
      <c r="C17" s="165">
        <v>61713140.760000005</v>
      </c>
      <c r="D17" s="165">
        <v>29345529.893310003</v>
      </c>
      <c r="E17" s="165">
        <v>4090.0859999999993</v>
      </c>
      <c r="F17" s="166">
        <f t="shared" si="0"/>
        <v>15088.470208205896</v>
      </c>
      <c r="G17" s="166">
        <f t="shared" si="1"/>
        <v>7174.7953205164895</v>
      </c>
      <c r="H17" s="167">
        <f t="shared" si="2"/>
        <v>1.0613887005523391E-2</v>
      </c>
    </row>
    <row r="18" spans="1:9" ht="13.9" x14ac:dyDescent="0.4">
      <c r="A18" s="28">
        <v>2017</v>
      </c>
      <c r="B18" s="165">
        <v>41260040.541948602</v>
      </c>
      <c r="C18" s="165">
        <v>64922148.251999997</v>
      </c>
      <c r="D18" s="165">
        <v>36175306.693061121</v>
      </c>
      <c r="E18" s="165">
        <v>3745.6349999999998</v>
      </c>
      <c r="F18" s="166">
        <f t="shared" si="0"/>
        <v>17332.748186088607</v>
      </c>
      <c r="G18" s="166">
        <f t="shared" si="1"/>
        <v>9657.9903522529894</v>
      </c>
      <c r="H18" s="167">
        <f t="shared" si="2"/>
        <v>9.0781175946539772E-3</v>
      </c>
    </row>
    <row r="19" spans="1:9" ht="13.9" x14ac:dyDescent="0.4">
      <c r="A19" s="28">
        <v>2018</v>
      </c>
      <c r="B19" s="165">
        <v>39408425.146724798</v>
      </c>
      <c r="C19" s="165">
        <v>79973700.588</v>
      </c>
      <c r="D19" s="165">
        <v>47355821.210709661</v>
      </c>
      <c r="E19" s="165">
        <v>3480.2459999999996</v>
      </c>
      <c r="F19" s="166">
        <f t="shared" si="0"/>
        <v>22979.3240443348</v>
      </c>
      <c r="G19" s="166">
        <f t="shared" si="1"/>
        <v>13607.032724327437</v>
      </c>
      <c r="H19" s="167">
        <f t="shared" si="2"/>
        <v>8.8312232398082523E-3</v>
      </c>
    </row>
    <row r="20" spans="1:9" ht="13.9" x14ac:dyDescent="0.4">
      <c r="A20" s="28">
        <v>2019</v>
      </c>
      <c r="B20" s="165">
        <v>34616328.509147003</v>
      </c>
      <c r="C20" s="165">
        <v>86779419.112000003</v>
      </c>
      <c r="D20" s="165">
        <v>50752806.994569324</v>
      </c>
      <c r="E20" s="165">
        <v>2801.0099999999998</v>
      </c>
      <c r="F20" s="166">
        <f t="shared" si="0"/>
        <v>30981.474222512599</v>
      </c>
      <c r="G20" s="166">
        <f t="shared" si="1"/>
        <v>18119.466547627224</v>
      </c>
      <c r="H20" s="167">
        <f t="shared" si="2"/>
        <v>8.0915860249588922E-3</v>
      </c>
    </row>
    <row r="21" spans="1:9" ht="13.9" x14ac:dyDescent="0.4">
      <c r="A21" s="28">
        <v>2020</v>
      </c>
      <c r="B21" s="165">
        <v>31317631.076366</v>
      </c>
      <c r="C21" s="165">
        <v>77166136.066</v>
      </c>
      <c r="D21" s="165">
        <v>55353384.089347973</v>
      </c>
      <c r="E21" s="165">
        <v>2250.3599999999997</v>
      </c>
      <c r="F21" s="166">
        <f t="shared" si="0"/>
        <v>34290.573981940674</v>
      </c>
      <c r="G21" s="166">
        <f t="shared" si="1"/>
        <v>24597.568428761613</v>
      </c>
      <c r="H21" s="167">
        <f t="shared" si="2"/>
        <v>7.1856009623226082E-3</v>
      </c>
    </row>
    <row r="23" spans="1:9" ht="13.9" x14ac:dyDescent="0.4">
      <c r="A23" s="267" t="s">
        <v>421</v>
      </c>
      <c r="B23" s="267"/>
      <c r="C23" s="267"/>
      <c r="G23" s="270" t="s">
        <v>422</v>
      </c>
      <c r="H23" s="270"/>
    </row>
    <row r="24" spans="1:9" ht="13.9" x14ac:dyDescent="0.35">
      <c r="A24" s="269"/>
      <c r="B24" s="269"/>
      <c r="C24" s="269"/>
      <c r="E24" s="171" t="s">
        <v>366</v>
      </c>
      <c r="F24" s="171" t="s">
        <v>372</v>
      </c>
      <c r="G24" s="171" t="s">
        <v>366</v>
      </c>
      <c r="H24" s="171" t="s">
        <v>423</v>
      </c>
    </row>
    <row r="25" spans="1:9" ht="13.9" x14ac:dyDescent="0.35">
      <c r="A25" s="269"/>
      <c r="B25" s="269"/>
      <c r="C25" s="269"/>
      <c r="E25" s="171"/>
      <c r="F25" s="171"/>
      <c r="G25" s="171"/>
      <c r="H25" s="171"/>
    </row>
    <row r="26" spans="1:9" ht="13.9" x14ac:dyDescent="0.4">
      <c r="A26" s="268" t="s">
        <v>470</v>
      </c>
      <c r="B26" s="268"/>
      <c r="C26" s="268"/>
      <c r="D26" s="268"/>
      <c r="E26" s="172">
        <f>ROUND(LOGEST(F12:F21,A12:A21,TRUE, TRUE)-1,3)</f>
        <v>0.161</v>
      </c>
      <c r="F26" s="172">
        <f>ROUND(LOGEST(H12:H21,A12:A21,TRUE, TRUE)-1,3)</f>
        <v>-7.4999999999999997E-2</v>
      </c>
      <c r="G26" s="173">
        <f>RSQ(LN(F12:F21),A12:A21)</f>
        <v>0.94131888572233668</v>
      </c>
      <c r="H26" s="173">
        <f>RSQ(LN(H12:H21),A12:A21)</f>
        <v>0.97724758542062151</v>
      </c>
      <c r="I26" s="88"/>
    </row>
    <row r="27" spans="1:9" ht="13.9" x14ac:dyDescent="0.4">
      <c r="A27" s="268"/>
      <c r="B27" s="268"/>
      <c r="C27" s="268"/>
      <c r="D27" s="268"/>
      <c r="E27" s="172"/>
      <c r="F27" s="172"/>
      <c r="G27" s="173"/>
      <c r="H27" s="173"/>
    </row>
    <row r="28" spans="1:9" ht="13.9" x14ac:dyDescent="0.4">
      <c r="A28" s="268" t="s">
        <v>471</v>
      </c>
      <c r="B28" s="268"/>
      <c r="C28" s="268"/>
      <c r="D28" s="268"/>
      <c r="E28" s="172">
        <f>ROUND(LOGEST(F14:F21,A14:A21,TRUE, TRUE)-1,3)</f>
        <v>0.16700000000000001</v>
      </c>
      <c r="F28" s="172">
        <f>ROUND(LOGEST(H14:H21,A14:A21,TRUE, TRUE)-1,3)</f>
        <v>-7.4999999999999997E-2</v>
      </c>
      <c r="G28" s="173">
        <f>RSQ(LN(F14:F21),A14:A21)</f>
        <v>0.90861260358920237</v>
      </c>
      <c r="H28" s="173">
        <f>RSQ(LN(H14:H21),A14:A21)</f>
        <v>0.95594090158448886</v>
      </c>
    </row>
    <row r="29" spans="1:9" ht="13.9" x14ac:dyDescent="0.35">
      <c r="A29" s="269"/>
      <c r="B29" s="269"/>
      <c r="C29" s="269"/>
      <c r="D29" s="269"/>
      <c r="E29" s="172"/>
      <c r="F29" s="172"/>
      <c r="G29" s="173"/>
      <c r="H29" s="173"/>
    </row>
    <row r="30" spans="1:9" ht="13.9" x14ac:dyDescent="0.4">
      <c r="A30" s="268" t="s">
        <v>472</v>
      </c>
      <c r="B30" s="268"/>
      <c r="C30" s="268"/>
      <c r="D30" s="268"/>
      <c r="E30" s="172">
        <f>ROUND(LOGEST(F16:F21,A16:A21,TRUE, TRUE)-1,3)</f>
        <v>0.22500000000000001</v>
      </c>
      <c r="F30" s="172">
        <f>ROUND(LOGEST(H16:H21,A16:A21,TRUE, TRUE)-1,3)</f>
        <v>-8.8999999999999996E-2</v>
      </c>
      <c r="G30" s="173">
        <f>RSQ(LN(F16:F21),A16:A21)</f>
        <v>0.97244212276465869</v>
      </c>
      <c r="H30" s="173">
        <f>RSQ(LN(H16:H21),A16:A21)</f>
        <v>0.97673588566128178</v>
      </c>
    </row>
    <row r="31" spans="1:9" x14ac:dyDescent="0.35">
      <c r="A31" s="269"/>
      <c r="B31" s="269"/>
      <c r="C31" s="269"/>
      <c r="D31" s="269"/>
    </row>
    <row r="32" spans="1:9" x14ac:dyDescent="0.35">
      <c r="A32" s="269"/>
      <c r="B32" s="269"/>
      <c r="C32" s="269"/>
      <c r="D32" s="269"/>
    </row>
    <row r="33" spans="1:8" ht="13.9" x14ac:dyDescent="0.4">
      <c r="A33" s="267" t="s">
        <v>427</v>
      </c>
      <c r="B33" s="267"/>
      <c r="C33" s="267"/>
      <c r="D33" s="267"/>
      <c r="G33" s="270" t="s">
        <v>422</v>
      </c>
      <c r="H33" s="270"/>
    </row>
    <row r="34" spans="1:8" ht="13.9" x14ac:dyDescent="0.35">
      <c r="A34" s="269"/>
      <c r="B34" s="269"/>
      <c r="C34" s="269"/>
      <c r="D34" s="269"/>
      <c r="E34" s="171" t="s">
        <v>366</v>
      </c>
      <c r="F34" s="171" t="s">
        <v>372</v>
      </c>
      <c r="G34" s="171" t="s">
        <v>366</v>
      </c>
      <c r="H34" s="171" t="s">
        <v>423</v>
      </c>
    </row>
    <row r="35" spans="1:8" ht="13.9" x14ac:dyDescent="0.35">
      <c r="A35" s="269"/>
      <c r="B35" s="269"/>
      <c r="C35" s="269"/>
      <c r="D35" s="269"/>
      <c r="E35" s="171"/>
      <c r="F35" s="171"/>
      <c r="G35" s="171"/>
      <c r="H35" s="171"/>
    </row>
    <row r="36" spans="1:8" ht="13.9" x14ac:dyDescent="0.4">
      <c r="A36" s="268" t="s">
        <v>470</v>
      </c>
      <c r="B36" s="268"/>
      <c r="C36" s="268"/>
      <c r="D36" s="268"/>
      <c r="E36" s="172">
        <f>ROUND(LOGEST(G12:G21,A12:A21,TRUE, TRUE)-1,3)</f>
        <v>0.19800000000000001</v>
      </c>
      <c r="F36" s="172">
        <f>ROUND(LOGEST($H$12:$H$21,$A$12:$A$21,TRUE, TRUE)-1,3)</f>
        <v>-7.4999999999999997E-2</v>
      </c>
      <c r="G36" s="173">
        <f>RSQ(LN(G$12:G$21),$A$12:$A$21)</f>
        <v>0.91698605961390312</v>
      </c>
      <c r="H36" s="173">
        <f>RSQ(LN($H$12:$H$21),$A$12:$A$21)</f>
        <v>0.97724758542062151</v>
      </c>
    </row>
    <row r="37" spans="1:8" ht="13.9" x14ac:dyDescent="0.4">
      <c r="A37" s="268"/>
      <c r="B37" s="268"/>
      <c r="C37" s="268"/>
      <c r="D37" s="268"/>
      <c r="E37" s="172"/>
      <c r="F37" s="172"/>
      <c r="G37" s="173"/>
      <c r="H37" s="173"/>
    </row>
    <row r="38" spans="1:8" ht="13.9" x14ac:dyDescent="0.4">
      <c r="A38" s="268" t="s">
        <v>471</v>
      </c>
      <c r="B38" s="268"/>
      <c r="C38" s="268"/>
      <c r="D38" s="268"/>
      <c r="E38" s="172">
        <f>ROUND(LOGEST(G$14:G$21,$A$14:$A$21,TRUE, TRUE)-1,3)</f>
        <v>0.22800000000000001</v>
      </c>
      <c r="F38" s="172">
        <f>ROUND(LOGEST($H$14:$H$21,$A$14:$A$21,TRUE, TRUE)-1,3)</f>
        <v>-7.4999999999999997E-2</v>
      </c>
      <c r="G38" s="173">
        <f>RSQ(LN(G$14:G$21),$A$14:$A$21)</f>
        <v>0.90185248647655325</v>
      </c>
      <c r="H38" s="173">
        <f>RSQ(LN($H$14:$H$21),$A$14:$A$21)</f>
        <v>0.95594090158448886</v>
      </c>
    </row>
    <row r="39" spans="1:8" ht="13.9" x14ac:dyDescent="0.35">
      <c r="A39" s="269"/>
      <c r="B39" s="269"/>
      <c r="C39" s="269"/>
      <c r="D39" s="269"/>
      <c r="E39" s="172"/>
      <c r="F39" s="172"/>
      <c r="G39" s="173"/>
      <c r="H39" s="173"/>
    </row>
    <row r="40" spans="1:8" ht="13.9" x14ac:dyDescent="0.4">
      <c r="A40" s="268" t="s">
        <v>472</v>
      </c>
      <c r="B40" s="268"/>
      <c r="C40" s="268"/>
      <c r="D40" s="268"/>
      <c r="E40" s="172">
        <f>ROUND(LOGEST(G$16:G$21,$A$16:$A$21,TRUE, TRUE)-1,3)</f>
        <v>0.32300000000000001</v>
      </c>
      <c r="F40" s="172">
        <f>ROUND(LOGEST($H$16:$H$21,$A$16:$A$21,TRUE, TRUE)-1,3)</f>
        <v>-8.8999999999999996E-2</v>
      </c>
      <c r="G40" s="173">
        <f>RSQ(LN(G$16:G$21),$A$16:$A$21)</f>
        <v>0.98523134525496869</v>
      </c>
      <c r="H40" s="173">
        <f>RSQ(LN($H$16:$H$21),$A$16:$A$21)</f>
        <v>0.97673588566128178</v>
      </c>
    </row>
    <row r="41" spans="1:8" x14ac:dyDescent="0.35">
      <c r="A41" s="269"/>
      <c r="B41" s="269"/>
      <c r="C41" s="269"/>
      <c r="D41" s="269"/>
    </row>
    <row r="42" spans="1:8" ht="13.9" x14ac:dyDescent="0.4">
      <c r="A42" s="268" t="s">
        <v>473</v>
      </c>
      <c r="B42" s="268"/>
      <c r="C42" s="268"/>
      <c r="D42" s="268"/>
      <c r="E42" s="172">
        <f>DZ_INPUTS!B43</f>
        <v>0.14499999999999999</v>
      </c>
      <c r="F42" s="172">
        <f>DZ_INPUTS!C43</f>
        <v>-0.08</v>
      </c>
    </row>
    <row r="44" spans="1:8" ht="13.9" x14ac:dyDescent="0.4">
      <c r="A44" s="174" t="s">
        <v>474</v>
      </c>
    </row>
    <row r="45" spans="1:8" ht="13.9" x14ac:dyDescent="0.4">
      <c r="A45" s="174" t="s">
        <v>475</v>
      </c>
    </row>
    <row r="46" spans="1:8" ht="13.9" x14ac:dyDescent="0.4">
      <c r="A46" s="268" t="s">
        <v>476</v>
      </c>
      <c r="B46" s="268"/>
      <c r="C46" s="268"/>
      <c r="D46" s="268"/>
    </row>
    <row r="47" spans="1:8" ht="13.9" x14ac:dyDescent="0.4">
      <c r="A47" s="174" t="s">
        <v>477</v>
      </c>
    </row>
  </sheetData>
  <mergeCells count="30">
    <mergeCell ref="A46:D46"/>
    <mergeCell ref="A33:D33"/>
    <mergeCell ref="G33:H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32:D32"/>
    <mergeCell ref="A7:H7"/>
    <mergeCell ref="A23:C23"/>
    <mergeCell ref="G23:H23"/>
    <mergeCell ref="A24:C24"/>
    <mergeCell ref="A25:C25"/>
    <mergeCell ref="A26:D26"/>
    <mergeCell ref="A27:D27"/>
    <mergeCell ref="A28:D28"/>
    <mergeCell ref="A29:D29"/>
    <mergeCell ref="A30:D30"/>
    <mergeCell ref="A31:D31"/>
    <mergeCell ref="A6:H6"/>
    <mergeCell ref="A1:H1"/>
    <mergeCell ref="A2:H2"/>
    <mergeCell ref="A3:H3"/>
    <mergeCell ref="A4:H4"/>
    <mergeCell ref="A5:H5"/>
  </mergeCells>
  <printOptions horizontalCentered="1"/>
  <pageMargins left="0.25" right="0.25" top="0.75" bottom="0.75" header="0.3" footer="0.3"/>
  <pageSetup firstPageNumber="0" orientation="portrait" useFirstPageNumber="1" r:id="rId1"/>
  <headerFooter>
    <oddHeader>&amp;L&amp;"Times New Roman"&amp;9INSURANCE SERVICES OFFICE, INC.</oddHeader>
    <oddFooter>&amp;C&amp;"Times New Roman"&amp;9© Insurance Services Office, Inc., 2022        		OREGON        BP-2021-RLA1&amp;R&amp;"Times New Roman"&amp;9&amp;A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B88FC0-A468-44FC-BB7D-E6547161AD2B}">
  <dimension ref="A1:J27"/>
  <sheetViews>
    <sheetView workbookViewId="0">
      <selection sqref="A1:J1"/>
    </sheetView>
  </sheetViews>
  <sheetFormatPr defaultColWidth="9.1328125" defaultRowHeight="13.15" x14ac:dyDescent="0.4"/>
  <cols>
    <col min="1" max="1" width="11.73046875" style="2" customWidth="1"/>
    <col min="2" max="2" width="4" style="2" customWidth="1"/>
    <col min="3" max="3" width="10.3984375" style="2" customWidth="1"/>
    <col min="4" max="4" width="7.59765625" style="2" customWidth="1"/>
    <col min="5" max="5" width="6.59765625" style="2" customWidth="1"/>
    <col min="6" max="6" width="12.86328125" style="2" customWidth="1"/>
    <col min="7" max="7" width="8.265625" style="2" customWidth="1"/>
    <col min="8" max="8" width="6.73046875" style="2" customWidth="1"/>
    <col min="9" max="9" width="6.3984375" style="2" customWidth="1"/>
    <col min="10" max="10" width="6.73046875" style="2" customWidth="1"/>
    <col min="11" max="16384" width="9.1328125" style="2"/>
  </cols>
  <sheetData>
    <row r="1" spans="1:10" x14ac:dyDescent="0.4">
      <c r="A1" s="240" t="str">
        <f>UPPER(state)</f>
        <v>OREGON</v>
      </c>
      <c r="B1" s="240"/>
      <c r="C1" s="240"/>
      <c r="D1" s="240"/>
      <c r="E1" s="240"/>
      <c r="F1" s="240"/>
      <c r="G1" s="240"/>
      <c r="H1" s="240"/>
      <c r="I1" s="240"/>
      <c r="J1" s="240"/>
    </row>
    <row r="2" spans="1:10" x14ac:dyDescent="0.4">
      <c r="A2" s="239"/>
      <c r="B2" s="239"/>
      <c r="C2" s="239"/>
      <c r="D2" s="239"/>
      <c r="E2" s="239"/>
      <c r="F2" s="239"/>
      <c r="G2" s="239"/>
      <c r="H2" s="239"/>
      <c r="I2" s="239"/>
      <c r="J2" s="239"/>
    </row>
    <row r="3" spans="1:10" x14ac:dyDescent="0.4">
      <c r="A3" s="241" t="s">
        <v>153</v>
      </c>
      <c r="B3" s="241"/>
      <c r="C3" s="241"/>
      <c r="D3" s="241"/>
      <c r="E3" s="241"/>
      <c r="F3" s="241"/>
      <c r="G3" s="241"/>
      <c r="H3" s="241"/>
      <c r="I3" s="241"/>
      <c r="J3" s="241"/>
    </row>
    <row r="4" spans="1:10" x14ac:dyDescent="0.4">
      <c r="A4" s="239"/>
      <c r="B4" s="239"/>
      <c r="C4" s="239"/>
      <c r="D4" s="239"/>
      <c r="E4" s="239"/>
      <c r="F4" s="239"/>
      <c r="G4" s="239"/>
      <c r="H4" s="239"/>
      <c r="I4" s="239"/>
      <c r="J4" s="239"/>
    </row>
    <row r="5" spans="1:10" x14ac:dyDescent="0.4">
      <c r="A5" s="241" t="s">
        <v>154</v>
      </c>
      <c r="B5" s="241"/>
      <c r="C5" s="241"/>
      <c r="D5" s="241"/>
      <c r="E5" s="241"/>
      <c r="F5" s="241"/>
      <c r="G5" s="241"/>
      <c r="H5" s="241"/>
      <c r="I5" s="241"/>
      <c r="J5" s="241"/>
    </row>
    <row r="6" spans="1:10" x14ac:dyDescent="0.4">
      <c r="A6" s="239"/>
      <c r="B6" s="239"/>
      <c r="C6" s="239"/>
      <c r="D6" s="239"/>
      <c r="E6" s="239"/>
      <c r="F6" s="239"/>
      <c r="G6" s="239"/>
      <c r="H6" s="239"/>
      <c r="I6" s="239"/>
      <c r="J6" s="239"/>
    </row>
    <row r="7" spans="1:10" x14ac:dyDescent="0.4">
      <c r="A7" s="241" t="s">
        <v>155</v>
      </c>
      <c r="B7" s="241"/>
      <c r="C7" s="241"/>
      <c r="D7" s="241"/>
      <c r="E7" s="241"/>
      <c r="F7" s="241"/>
      <c r="G7" s="241"/>
      <c r="H7" s="241"/>
      <c r="I7" s="241"/>
      <c r="J7" s="241"/>
    </row>
    <row r="8" spans="1:10" x14ac:dyDescent="0.4">
      <c r="A8" s="239"/>
      <c r="B8" s="239"/>
      <c r="C8" s="239"/>
      <c r="D8" s="239"/>
      <c r="E8" s="239"/>
      <c r="F8" s="239"/>
      <c r="G8" s="239"/>
      <c r="H8" s="239"/>
      <c r="I8" s="239"/>
      <c r="J8" s="239"/>
    </row>
    <row r="9" spans="1:10" x14ac:dyDescent="0.4">
      <c r="A9" s="239"/>
      <c r="B9" s="239"/>
      <c r="C9" s="239"/>
      <c r="D9" s="239"/>
      <c r="E9" s="239"/>
      <c r="F9" s="239"/>
      <c r="G9" s="239"/>
      <c r="H9" s="239"/>
      <c r="I9" s="239"/>
      <c r="J9" s="239"/>
    </row>
    <row r="10" spans="1:10" x14ac:dyDescent="0.4">
      <c r="A10" s="239"/>
      <c r="B10" s="239"/>
      <c r="C10" s="239"/>
      <c r="D10" s="239"/>
      <c r="E10" s="239"/>
      <c r="F10" s="239"/>
      <c r="G10" s="239"/>
      <c r="H10" s="239"/>
      <c r="I10" s="239"/>
      <c r="J10" s="239"/>
    </row>
    <row r="11" spans="1:10" x14ac:dyDescent="0.4">
      <c r="A11" s="239"/>
      <c r="B11" s="239"/>
      <c r="C11" s="239"/>
      <c r="D11" s="239"/>
      <c r="E11" s="239"/>
      <c r="F11" s="239"/>
      <c r="G11" s="239"/>
      <c r="H11" s="239"/>
      <c r="I11" s="239"/>
      <c r="J11" s="239"/>
    </row>
    <row r="12" spans="1:10" x14ac:dyDescent="0.4">
      <c r="B12" s="239"/>
      <c r="C12" s="239"/>
      <c r="D12" s="239"/>
    </row>
    <row r="13" spans="1:10" x14ac:dyDescent="0.4">
      <c r="A13" s="41"/>
      <c r="B13" s="239"/>
      <c r="C13" s="239"/>
      <c r="D13" s="239"/>
      <c r="E13" s="241" t="s">
        <v>156</v>
      </c>
      <c r="F13" s="241"/>
      <c r="G13" s="241"/>
      <c r="H13" s="42"/>
    </row>
    <row r="14" spans="1:10" x14ac:dyDescent="0.4">
      <c r="B14" s="239"/>
      <c r="C14" s="239"/>
      <c r="D14" s="239"/>
      <c r="E14" s="241" t="s">
        <v>157</v>
      </c>
      <c r="F14" s="241"/>
      <c r="G14" s="241"/>
      <c r="H14" s="241"/>
      <c r="I14" s="241"/>
      <c r="J14" s="241"/>
    </row>
    <row r="15" spans="1:10" x14ac:dyDescent="0.4">
      <c r="B15" s="242"/>
      <c r="C15" s="242"/>
      <c r="D15" s="242"/>
      <c r="E15" s="243" t="s">
        <v>158</v>
      </c>
      <c r="F15" s="243"/>
      <c r="G15" s="243"/>
      <c r="H15" s="243" t="s">
        <v>159</v>
      </c>
      <c r="I15" s="243"/>
      <c r="J15" s="243"/>
    </row>
    <row r="16" spans="1:10" x14ac:dyDescent="0.4">
      <c r="B16" s="239"/>
      <c r="C16" s="239"/>
      <c r="D16" s="239"/>
      <c r="H16" s="42" t="s">
        <v>160</v>
      </c>
      <c r="I16" s="42"/>
      <c r="J16" s="42" t="s">
        <v>161</v>
      </c>
    </row>
    <row r="17" spans="2:10" x14ac:dyDescent="0.4">
      <c r="B17" s="244" t="s">
        <v>162</v>
      </c>
      <c r="C17" s="244"/>
      <c r="D17" s="244"/>
      <c r="E17" s="43"/>
      <c r="F17" s="44">
        <f>PropTotSWlyLCCL</f>
        <v>19269627</v>
      </c>
      <c r="H17" s="45">
        <f>PropIndChange</f>
        <v>0.14399999999999991</v>
      </c>
      <c r="J17" s="45">
        <f>PropSWLCChange</f>
        <v>0.14399999999999999</v>
      </c>
    </row>
    <row r="18" spans="2:10" x14ac:dyDescent="0.4">
      <c r="B18" s="239"/>
      <c r="C18" s="239"/>
      <c r="D18" s="239"/>
      <c r="F18" s="46"/>
      <c r="H18" s="47"/>
      <c r="J18" s="47"/>
    </row>
    <row r="19" spans="2:10" x14ac:dyDescent="0.4">
      <c r="B19" s="239"/>
      <c r="C19" s="239"/>
      <c r="D19" s="239"/>
      <c r="F19" s="46"/>
      <c r="H19" s="47"/>
      <c r="J19" s="47"/>
    </row>
    <row r="20" spans="2:10" x14ac:dyDescent="0.4">
      <c r="B20" s="239" t="s">
        <v>163</v>
      </c>
      <c r="C20" s="239"/>
      <c r="D20" s="239"/>
      <c r="F20" s="44">
        <f>LessorSWlyLCCL</f>
        <v>4422012</v>
      </c>
      <c r="H20" s="45">
        <f>LessorIndChange</f>
        <v>-4.7000000000000042E-2</v>
      </c>
      <c r="J20" s="45">
        <f>LessorSWLCChange</f>
        <v>-5.0999999999999997E-2</v>
      </c>
    </row>
    <row r="21" spans="2:10" x14ac:dyDescent="0.4">
      <c r="B21" s="239" t="s">
        <v>164</v>
      </c>
      <c r="C21" s="239"/>
      <c r="D21" s="239"/>
      <c r="F21" s="48">
        <f>SalesSWLCCL</f>
        <v>658922</v>
      </c>
      <c r="H21" s="45">
        <f>SalesIndChange</f>
        <v>-6.2999999999999945E-2</v>
      </c>
      <c r="J21" s="45">
        <f>SalesSWLCChange</f>
        <v>-6.2999999999999945E-2</v>
      </c>
    </row>
    <row r="22" spans="2:10" x14ac:dyDescent="0.4">
      <c r="B22" s="239" t="s">
        <v>165</v>
      </c>
      <c r="C22" s="239"/>
      <c r="D22" s="239"/>
      <c r="F22" s="48">
        <f>PayrollSWLCCL</f>
        <v>390173</v>
      </c>
      <c r="H22" s="45">
        <f>PayrollIndChange</f>
        <v>4.8999999999999932E-2</v>
      </c>
      <c r="J22" s="45">
        <f>PayrollSWLCChange</f>
        <v>-1.9000000000000017E-2</v>
      </c>
    </row>
    <row r="23" spans="2:10" x14ac:dyDescent="0.4">
      <c r="B23" s="239"/>
      <c r="C23" s="239"/>
      <c r="D23" s="239"/>
      <c r="F23" s="49"/>
      <c r="H23" s="45"/>
      <c r="J23" s="45"/>
    </row>
    <row r="24" spans="2:10" x14ac:dyDescent="0.4">
      <c r="B24" s="242" t="s">
        <v>166</v>
      </c>
      <c r="C24" s="242"/>
      <c r="D24" s="242"/>
      <c r="E24" s="41"/>
      <c r="F24" s="50">
        <f>SUM(F20:F22)</f>
        <v>5471107</v>
      </c>
      <c r="H24" s="45">
        <f>ROUND(SUMPRODUCT(F20:F22,H20:H22)/F24,3)</f>
        <v>-4.2000000000000003E-2</v>
      </c>
      <c r="J24" s="45">
        <f>ROUND(SUMPRODUCT(F20:F22,J20:J22)/F24,3)</f>
        <v>-0.05</v>
      </c>
    </row>
    <row r="25" spans="2:10" x14ac:dyDescent="0.4">
      <c r="B25" s="239"/>
      <c r="C25" s="239"/>
      <c r="D25" s="239"/>
      <c r="F25" s="42"/>
      <c r="H25" s="47"/>
      <c r="J25" s="47"/>
    </row>
    <row r="26" spans="2:10" x14ac:dyDescent="0.4">
      <c r="B26" s="239"/>
      <c r="C26" s="239"/>
      <c r="D26" s="239"/>
      <c r="F26" s="42"/>
      <c r="H26" s="47"/>
      <c r="J26" s="47"/>
    </row>
    <row r="27" spans="2:10" x14ac:dyDescent="0.4">
      <c r="B27" s="239" t="s">
        <v>167</v>
      </c>
      <c r="C27" s="239"/>
      <c r="D27" s="239"/>
      <c r="F27" s="50">
        <f>F17+F24</f>
        <v>24740734</v>
      </c>
      <c r="H27" s="51">
        <f>ROUND(((F17*H17)+(F24*H24))/F27,3)</f>
        <v>0.10299999999999999</v>
      </c>
      <c r="J27" s="51">
        <f>ROUND(((F17*J17)+(F24*J24))/F27,3)</f>
        <v>0.10100000000000001</v>
      </c>
    </row>
  </sheetData>
  <mergeCells count="32">
    <mergeCell ref="B27:D27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15:D15"/>
    <mergeCell ref="E15:G15"/>
    <mergeCell ref="H15:J15"/>
    <mergeCell ref="A7:J7"/>
    <mergeCell ref="A8:J8"/>
    <mergeCell ref="A9:J9"/>
    <mergeCell ref="A10:J10"/>
    <mergeCell ref="A11:J11"/>
    <mergeCell ref="B12:D12"/>
    <mergeCell ref="B13:D13"/>
    <mergeCell ref="E13:G13"/>
    <mergeCell ref="B14:D14"/>
    <mergeCell ref="E14:G14"/>
    <mergeCell ref="H14:J14"/>
    <mergeCell ref="A6:J6"/>
    <mergeCell ref="A1:J1"/>
    <mergeCell ref="A2:J2"/>
    <mergeCell ref="A3:J3"/>
    <mergeCell ref="A4:J4"/>
    <mergeCell ref="A5:J5"/>
  </mergeCells>
  <printOptions horizontalCentered="1"/>
  <pageMargins left="1.1399999999999999" right="0.97" top="0.75" bottom="0.75" header="0.3" footer="0.3"/>
  <pageSetup firstPageNumber="0" orientation="portrait" useFirstPageNumber="1" r:id="rId1"/>
  <headerFooter>
    <oddHeader>&amp;L&amp;"Times New Roman"&amp;9INSURANCE SERVICES OFFICE, INC.</oddHeader>
    <oddFooter>&amp;C&amp;"Times New Roman"&amp;9© Insurance Services Office, Inc., 2022        		OREGON        BP-2021-RLA1&amp;R&amp;"Times New Roman"&amp;9&amp;A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C24F9-F98D-48D9-BA49-44F6A0E6B54A}">
  <sheetPr>
    <pageSetUpPr fitToPage="1"/>
  </sheetPr>
  <dimension ref="A1:P47"/>
  <sheetViews>
    <sheetView zoomScale="85" zoomScaleNormal="85" workbookViewId="0">
      <selection sqref="A1:H1"/>
    </sheetView>
  </sheetViews>
  <sheetFormatPr defaultRowHeight="12.75" x14ac:dyDescent="0.35"/>
  <cols>
    <col min="1" max="1" width="9.265625" style="84" customWidth="1"/>
    <col min="2" max="2" width="14.3984375" style="84" customWidth="1"/>
    <col min="3" max="3" width="13.73046875" style="84" customWidth="1"/>
    <col min="4" max="4" width="13" style="84" customWidth="1"/>
    <col min="5" max="5" width="13.73046875" style="84" customWidth="1"/>
    <col min="6" max="6" width="11.86328125" style="84" customWidth="1"/>
    <col min="7" max="7" width="13.265625" style="84" bestFit="1" customWidth="1"/>
    <col min="8" max="8" width="12" style="84" customWidth="1"/>
    <col min="9" max="16384" width="9.06640625" style="84"/>
  </cols>
  <sheetData>
    <row r="1" spans="1:16" ht="13.9" x14ac:dyDescent="0.4">
      <c r="A1" s="266" t="str">
        <f>UPPER(state)</f>
        <v>OREGON</v>
      </c>
      <c r="B1" s="266"/>
      <c r="C1" s="266"/>
      <c r="D1" s="266"/>
      <c r="E1" s="266"/>
      <c r="F1" s="266"/>
      <c r="G1" s="266"/>
      <c r="H1" s="266"/>
    </row>
    <row r="2" spans="1:16" ht="13.9" x14ac:dyDescent="0.4">
      <c r="A2" s="266" t="s">
        <v>153</v>
      </c>
      <c r="B2" s="266"/>
      <c r="C2" s="266"/>
      <c r="D2" s="266"/>
      <c r="E2" s="266"/>
      <c r="F2" s="266"/>
      <c r="G2" s="266"/>
      <c r="H2" s="266"/>
    </row>
    <row r="3" spans="1:16" ht="13.5" x14ac:dyDescent="0.35">
      <c r="A3" s="272"/>
      <c r="B3" s="272"/>
      <c r="C3" s="272"/>
      <c r="D3" s="272"/>
      <c r="E3" s="272"/>
      <c r="F3" s="272"/>
      <c r="G3" s="272"/>
      <c r="H3" s="272"/>
    </row>
    <row r="4" spans="1:16" ht="13.9" x14ac:dyDescent="0.4">
      <c r="A4" s="266" t="s">
        <v>482</v>
      </c>
      <c r="B4" s="266"/>
      <c r="C4" s="266"/>
      <c r="D4" s="266"/>
      <c r="E4" s="266"/>
      <c r="F4" s="266"/>
      <c r="G4" s="266"/>
      <c r="H4" s="266"/>
    </row>
    <row r="5" spans="1:16" ht="13.9" x14ac:dyDescent="0.4">
      <c r="A5" s="266"/>
      <c r="B5" s="266"/>
      <c r="C5" s="266"/>
      <c r="D5" s="266"/>
      <c r="E5" s="266"/>
      <c r="F5" s="266"/>
      <c r="G5" s="266"/>
      <c r="H5" s="266"/>
    </row>
    <row r="6" spans="1:16" ht="13.9" x14ac:dyDescent="0.4">
      <c r="A6" s="266" t="s">
        <v>483</v>
      </c>
      <c r="B6" s="266"/>
      <c r="C6" s="266"/>
      <c r="D6" s="266"/>
      <c r="E6" s="266"/>
      <c r="F6" s="266"/>
      <c r="G6" s="266"/>
      <c r="H6" s="266"/>
    </row>
    <row r="7" spans="1:16" ht="13.9" x14ac:dyDescent="0.4">
      <c r="A7" s="266" t="s">
        <v>407</v>
      </c>
      <c r="B7" s="266"/>
      <c r="C7" s="266"/>
      <c r="D7" s="266"/>
      <c r="E7" s="266"/>
      <c r="F7" s="266"/>
      <c r="G7" s="266"/>
      <c r="H7" s="266"/>
    </row>
    <row r="9" spans="1:16" ht="13.9" x14ac:dyDescent="0.4">
      <c r="C9" s="38" t="s">
        <v>466</v>
      </c>
      <c r="D9" s="38" t="s">
        <v>466</v>
      </c>
      <c r="E9" s="38"/>
      <c r="F9" s="38" t="s">
        <v>408</v>
      </c>
      <c r="G9" s="38" t="s">
        <v>408</v>
      </c>
      <c r="H9" s="38"/>
    </row>
    <row r="10" spans="1:16" ht="13.9" x14ac:dyDescent="0.4">
      <c r="A10" s="38" t="s">
        <v>409</v>
      </c>
      <c r="B10" s="38" t="s">
        <v>410</v>
      </c>
      <c r="C10" s="38" t="s">
        <v>288</v>
      </c>
      <c r="D10" s="38" t="s">
        <v>411</v>
      </c>
      <c r="E10" s="38" t="s">
        <v>466</v>
      </c>
      <c r="F10" s="38" t="s">
        <v>413</v>
      </c>
      <c r="G10" s="38" t="s">
        <v>413</v>
      </c>
      <c r="H10" s="38" t="s">
        <v>414</v>
      </c>
    </row>
    <row r="11" spans="1:16" ht="13.9" x14ac:dyDescent="0.4">
      <c r="A11" s="164" t="s">
        <v>109</v>
      </c>
      <c r="B11" s="164" t="s">
        <v>415</v>
      </c>
      <c r="C11" s="164" t="s">
        <v>416</v>
      </c>
      <c r="D11" s="164" t="s">
        <v>467</v>
      </c>
      <c r="E11" s="164" t="s">
        <v>468</v>
      </c>
      <c r="F11" s="164" t="s">
        <v>418</v>
      </c>
      <c r="G11" s="164" t="s">
        <v>419</v>
      </c>
      <c r="H11" s="164" t="s">
        <v>469</v>
      </c>
    </row>
    <row r="12" spans="1:16" ht="13.9" x14ac:dyDescent="0.4">
      <c r="A12" s="28">
        <v>2011</v>
      </c>
      <c r="B12" s="165">
        <v>3316098.0634165802</v>
      </c>
      <c r="C12" s="165">
        <v>53443553</v>
      </c>
      <c r="D12" s="165">
        <v>23396498.298349999</v>
      </c>
      <c r="E12" s="165">
        <v>2360</v>
      </c>
      <c r="F12" s="166">
        <f>C12/E12</f>
        <v>22645.573305084745</v>
      </c>
      <c r="G12" s="166">
        <f>D12/$E12</f>
        <v>9913.770465402542</v>
      </c>
      <c r="H12" s="167">
        <f>E12/B12*100</f>
        <v>7.1167979802397308E-2</v>
      </c>
      <c r="M12" s="187"/>
      <c r="N12" s="187"/>
      <c r="O12" s="187"/>
      <c r="P12" s="187"/>
    </row>
    <row r="13" spans="1:16" ht="13.9" x14ac:dyDescent="0.4">
      <c r="A13" s="28">
        <v>2012</v>
      </c>
      <c r="B13" s="165">
        <v>3220962.0014959699</v>
      </c>
      <c r="C13" s="165">
        <v>51373011.066</v>
      </c>
      <c r="D13" s="165">
        <v>22051310.576273941</v>
      </c>
      <c r="E13" s="165">
        <v>2867.1959999999999</v>
      </c>
      <c r="F13" s="166">
        <f t="shared" ref="F13:F21" si="0">C13/E13</f>
        <v>17917.509324789797</v>
      </c>
      <c r="G13" s="166">
        <f t="shared" ref="G13:G21" si="1">D13/$E13</f>
        <v>7690.8975097181847</v>
      </c>
      <c r="H13" s="167">
        <f t="shared" ref="H13:H21" si="2">E13/B13*100</f>
        <v>8.9016759547872221E-2</v>
      </c>
      <c r="M13" s="187"/>
      <c r="N13" s="187"/>
      <c r="O13" s="187"/>
      <c r="P13" s="187"/>
    </row>
    <row r="14" spans="1:16" ht="13.9" x14ac:dyDescent="0.4">
      <c r="A14" s="28">
        <v>2013</v>
      </c>
      <c r="B14" s="165">
        <v>3412145.1455404102</v>
      </c>
      <c r="C14" s="165">
        <v>68346622.140000001</v>
      </c>
      <c r="D14" s="165">
        <v>25611170.748348661</v>
      </c>
      <c r="E14" s="165">
        <v>2705.1179999999999</v>
      </c>
      <c r="F14" s="166">
        <f t="shared" si="0"/>
        <v>25265.671272011055</v>
      </c>
      <c r="G14" s="166">
        <f t="shared" si="1"/>
        <v>9467.6722968641898</v>
      </c>
      <c r="H14" s="167">
        <f t="shared" si="2"/>
        <v>7.927910111137923E-2</v>
      </c>
      <c r="M14" s="187"/>
      <c r="N14" s="187"/>
      <c r="O14" s="187"/>
      <c r="P14" s="187"/>
    </row>
    <row r="15" spans="1:16" ht="13.9" x14ac:dyDescent="0.4">
      <c r="A15" s="28">
        <v>2014</v>
      </c>
      <c r="B15" s="165">
        <v>3515180.9356606202</v>
      </c>
      <c r="C15" s="165">
        <v>68275285.460000008</v>
      </c>
      <c r="D15" s="165">
        <v>26537618.734145503</v>
      </c>
      <c r="E15" s="165">
        <v>2803.6400000000003</v>
      </c>
      <c r="F15" s="166">
        <f t="shared" si="0"/>
        <v>24352.372437260132</v>
      </c>
      <c r="G15" s="166">
        <f t="shared" si="1"/>
        <v>9465.4159357640419</v>
      </c>
      <c r="H15" s="167">
        <f t="shared" si="2"/>
        <v>7.975805659270005E-2</v>
      </c>
      <c r="M15" s="187"/>
      <c r="N15" s="187"/>
      <c r="O15" s="187"/>
      <c r="P15" s="187"/>
    </row>
    <row r="16" spans="1:16" ht="13.9" x14ac:dyDescent="0.4">
      <c r="A16" s="28">
        <v>2015</v>
      </c>
      <c r="B16" s="165">
        <v>3643374.4071548302</v>
      </c>
      <c r="C16" s="165">
        <v>61992512.136000007</v>
      </c>
      <c r="D16" s="165">
        <v>27844575.291348122</v>
      </c>
      <c r="E16" s="165">
        <v>2484.009</v>
      </c>
      <c r="F16" s="166">
        <f t="shared" si="0"/>
        <v>24956.637490443878</v>
      </c>
      <c r="G16" s="166">
        <f t="shared" si="1"/>
        <v>11209.530759086671</v>
      </c>
      <c r="H16" s="167">
        <f t="shared" si="2"/>
        <v>6.8178801363975181E-2</v>
      </c>
      <c r="M16" s="187"/>
      <c r="N16" s="187"/>
      <c r="O16" s="187"/>
      <c r="P16" s="187"/>
    </row>
    <row r="17" spans="1:16" ht="13.9" x14ac:dyDescent="0.4">
      <c r="A17" s="28">
        <v>2016</v>
      </c>
      <c r="B17" s="165">
        <v>3884501.5226117801</v>
      </c>
      <c r="C17" s="165">
        <v>75094069.225999996</v>
      </c>
      <c r="D17" s="165">
        <v>26859621.245140459</v>
      </c>
      <c r="E17" s="165">
        <v>2290.0020000000004</v>
      </c>
      <c r="F17" s="166">
        <f t="shared" si="0"/>
        <v>32792.141328260841</v>
      </c>
      <c r="G17" s="166">
        <f t="shared" si="1"/>
        <v>11729.082003046484</v>
      </c>
      <c r="H17" s="167">
        <f t="shared" si="2"/>
        <v>5.8952274485409309E-2</v>
      </c>
      <c r="M17" s="187"/>
      <c r="N17" s="187"/>
      <c r="O17" s="187"/>
      <c r="P17" s="187"/>
    </row>
    <row r="18" spans="1:16" ht="13.9" x14ac:dyDescent="0.4">
      <c r="A18" s="28">
        <v>2017</v>
      </c>
      <c r="B18" s="165">
        <v>4036208.5177070498</v>
      </c>
      <c r="C18" s="165">
        <v>73384014.947999999</v>
      </c>
      <c r="D18" s="165">
        <v>27491148.721043557</v>
      </c>
      <c r="E18" s="165">
        <v>2318.8399999999997</v>
      </c>
      <c r="F18" s="166">
        <f t="shared" si="0"/>
        <v>31646.864358041094</v>
      </c>
      <c r="G18" s="166">
        <f t="shared" si="1"/>
        <v>11855.560849840247</v>
      </c>
      <c r="H18" s="167">
        <f t="shared" si="2"/>
        <v>5.7450946595725465E-2</v>
      </c>
      <c r="M18" s="187"/>
      <c r="N18" s="187"/>
      <c r="O18" s="187"/>
      <c r="P18" s="187"/>
    </row>
    <row r="19" spans="1:16" ht="13.9" x14ac:dyDescent="0.4">
      <c r="A19" s="28">
        <v>2018</v>
      </c>
      <c r="B19" s="165">
        <v>3829029.58979885</v>
      </c>
      <c r="C19" s="165">
        <v>60683137.730000004</v>
      </c>
      <c r="D19" s="165">
        <v>30452056.969997611</v>
      </c>
      <c r="E19" s="165">
        <v>2291.7399999999998</v>
      </c>
      <c r="F19" s="166">
        <f t="shared" si="0"/>
        <v>26479.067315664084</v>
      </c>
      <c r="G19" s="166">
        <f t="shared" si="1"/>
        <v>13287.745106337374</v>
      </c>
      <c r="H19" s="167">
        <f t="shared" si="2"/>
        <v>5.985171820310721E-2</v>
      </c>
      <c r="M19" s="187"/>
      <c r="N19" s="187"/>
      <c r="O19" s="187"/>
      <c r="P19" s="187"/>
    </row>
    <row r="20" spans="1:16" ht="13.9" x14ac:dyDescent="0.4">
      <c r="A20" s="28">
        <v>2019</v>
      </c>
      <c r="B20" s="165">
        <v>3617818.6416440201</v>
      </c>
      <c r="C20" s="165">
        <v>54000727</v>
      </c>
      <c r="D20" s="165">
        <v>33802706.579674996</v>
      </c>
      <c r="E20" s="165">
        <v>2032.1279999999999</v>
      </c>
      <c r="F20" s="166">
        <f t="shared" si="0"/>
        <v>26573.487004755607</v>
      </c>
      <c r="G20" s="166">
        <f t="shared" si="1"/>
        <v>16634.142425907718</v>
      </c>
      <c r="H20" s="167">
        <f t="shared" si="2"/>
        <v>5.6169979794137889E-2</v>
      </c>
      <c r="M20" s="187"/>
      <c r="N20" s="187"/>
      <c r="O20" s="187"/>
      <c r="P20" s="187"/>
    </row>
    <row r="21" spans="1:16" ht="13.9" x14ac:dyDescent="0.4">
      <c r="A21" s="28">
        <v>2020</v>
      </c>
      <c r="B21" s="165">
        <v>3281914.8658332801</v>
      </c>
      <c r="C21" s="165">
        <v>45479237.006999999</v>
      </c>
      <c r="D21" s="165">
        <v>32527174.744394932</v>
      </c>
      <c r="E21" s="165">
        <v>1577.1690000000001</v>
      </c>
      <c r="F21" s="166">
        <f t="shared" si="0"/>
        <v>28835.994751989165</v>
      </c>
      <c r="G21" s="166">
        <f t="shared" si="1"/>
        <v>20623.772559817578</v>
      </c>
      <c r="H21" s="167">
        <f t="shared" si="2"/>
        <v>4.8056365398727548E-2</v>
      </c>
      <c r="M21" s="187"/>
      <c r="N21" s="187"/>
      <c r="O21" s="187"/>
      <c r="P21" s="187"/>
    </row>
    <row r="23" spans="1:16" ht="13.9" x14ac:dyDescent="0.4">
      <c r="A23" s="267" t="s">
        <v>421</v>
      </c>
      <c r="B23" s="267"/>
      <c r="C23" s="267"/>
      <c r="G23" s="270" t="s">
        <v>422</v>
      </c>
      <c r="H23" s="270"/>
    </row>
    <row r="24" spans="1:16" ht="13.9" x14ac:dyDescent="0.35">
      <c r="A24" s="269"/>
      <c r="B24" s="269"/>
      <c r="C24" s="269"/>
      <c r="E24" s="171" t="s">
        <v>366</v>
      </c>
      <c r="F24" s="171" t="s">
        <v>372</v>
      </c>
      <c r="G24" s="171" t="s">
        <v>366</v>
      </c>
      <c r="H24" s="171" t="s">
        <v>423</v>
      </c>
    </row>
    <row r="25" spans="1:16" ht="13.9" x14ac:dyDescent="0.35">
      <c r="A25" s="269"/>
      <c r="B25" s="269"/>
      <c r="C25" s="269"/>
      <c r="E25" s="171"/>
      <c r="F25" s="171"/>
      <c r="G25" s="171"/>
      <c r="H25" s="171"/>
    </row>
    <row r="26" spans="1:16" ht="13.9" x14ac:dyDescent="0.4">
      <c r="A26" s="268" t="s">
        <v>470</v>
      </c>
      <c r="B26" s="268"/>
      <c r="C26" s="268"/>
      <c r="D26" s="268"/>
      <c r="E26" s="172">
        <f>ROUND(LOGEST(F12:F21,A12:A21,TRUE, TRUE)-1,3)</f>
        <v>3.7999999999999999E-2</v>
      </c>
      <c r="F26" s="172">
        <f>ROUND(LOGEST(H12:H21,A12:A21,TRUE, TRUE)-1,3)</f>
        <v>-5.5E-2</v>
      </c>
      <c r="G26" s="173">
        <f>RSQ(LN(F12:F21),A12:A21)</f>
        <v>0.43855667455849584</v>
      </c>
      <c r="H26" s="173">
        <f>RSQ(LN(H12:H21),A12:A21)</f>
        <v>0.78410172397619915</v>
      </c>
      <c r="I26" s="88"/>
    </row>
    <row r="27" spans="1:16" ht="13.9" x14ac:dyDescent="0.4">
      <c r="A27" s="268"/>
      <c r="B27" s="268"/>
      <c r="C27" s="268"/>
      <c r="D27" s="268"/>
      <c r="E27" s="172"/>
      <c r="F27" s="172"/>
      <c r="G27" s="173"/>
      <c r="H27" s="173"/>
    </row>
    <row r="28" spans="1:16" ht="13.9" x14ac:dyDescent="0.4">
      <c r="A28" s="268" t="s">
        <v>471</v>
      </c>
      <c r="B28" s="268"/>
      <c r="C28" s="268"/>
      <c r="D28" s="268"/>
      <c r="E28" s="172">
        <f>ROUND(LOGEST(F14:F21,A14:A21,TRUE, TRUE)-1,3)</f>
        <v>1.7999999999999999E-2</v>
      </c>
      <c r="F28" s="172">
        <f>ROUND(LOGEST(H14:H21,A14:A21,TRUE, TRUE)-1,3)</f>
        <v>-6.5000000000000002E-2</v>
      </c>
      <c r="G28" s="173">
        <f>RSQ(LN(F14:F21),A14:A21)</f>
        <v>0.15485944435828569</v>
      </c>
      <c r="H28" s="173">
        <f>RSQ(LN(H14:H21),A14:A21)</f>
        <v>0.8855222999920952</v>
      </c>
    </row>
    <row r="29" spans="1:16" ht="13.9" x14ac:dyDescent="0.35">
      <c r="A29" s="269"/>
      <c r="B29" s="269"/>
      <c r="C29" s="269"/>
      <c r="D29" s="269"/>
      <c r="E29" s="172"/>
      <c r="F29" s="172"/>
      <c r="G29" s="173"/>
      <c r="H29" s="173"/>
    </row>
    <row r="30" spans="1:16" ht="13.9" x14ac:dyDescent="0.4">
      <c r="A30" s="268" t="s">
        <v>472</v>
      </c>
      <c r="B30" s="268"/>
      <c r="C30" s="268"/>
      <c r="D30" s="268"/>
      <c r="E30" s="172">
        <f>ROUND(LOGEST(F16:F21,A16:A21,TRUE, TRUE)-1,3)</f>
        <v>-2E-3</v>
      </c>
      <c r="F30" s="172">
        <f>ROUND(LOGEST(H16:H21,A16:A21,TRUE, TRUE)-1,3)</f>
        <v>-5.1999999999999998E-2</v>
      </c>
      <c r="G30" s="173">
        <f>RSQ(LN(F16:F21),A16:A21)</f>
        <v>1.8301221239734556E-3</v>
      </c>
      <c r="H30" s="173">
        <f>RSQ(LN(H16:H21),A16:A21)</f>
        <v>0.76854575022254346</v>
      </c>
    </row>
    <row r="31" spans="1:16" x14ac:dyDescent="0.35">
      <c r="A31" s="269"/>
      <c r="B31" s="269"/>
      <c r="C31" s="269"/>
      <c r="D31" s="269"/>
    </row>
    <row r="32" spans="1:16" x14ac:dyDescent="0.35">
      <c r="A32" s="269"/>
      <c r="B32" s="269"/>
      <c r="C32" s="269"/>
      <c r="D32" s="269"/>
    </row>
    <row r="33" spans="1:8" ht="13.9" x14ac:dyDescent="0.4">
      <c r="A33" s="267" t="s">
        <v>427</v>
      </c>
      <c r="B33" s="267"/>
      <c r="C33" s="267"/>
      <c r="D33" s="267"/>
      <c r="G33" s="270" t="s">
        <v>422</v>
      </c>
      <c r="H33" s="270"/>
    </row>
    <row r="34" spans="1:8" ht="13.9" x14ac:dyDescent="0.35">
      <c r="A34" s="269"/>
      <c r="B34" s="269"/>
      <c r="C34" s="269"/>
      <c r="D34" s="269"/>
      <c r="E34" s="171" t="s">
        <v>366</v>
      </c>
      <c r="F34" s="171" t="s">
        <v>372</v>
      </c>
      <c r="G34" s="171" t="s">
        <v>366</v>
      </c>
      <c r="H34" s="171" t="s">
        <v>423</v>
      </c>
    </row>
    <row r="35" spans="1:8" ht="13.9" x14ac:dyDescent="0.35">
      <c r="A35" s="269"/>
      <c r="B35" s="269"/>
      <c r="C35" s="269"/>
      <c r="D35" s="269"/>
      <c r="E35" s="171"/>
      <c r="F35" s="171"/>
      <c r="G35" s="171"/>
      <c r="H35" s="171"/>
    </row>
    <row r="36" spans="1:8" ht="13.9" x14ac:dyDescent="0.4">
      <c r="A36" s="268" t="s">
        <v>470</v>
      </c>
      <c r="B36" s="268"/>
      <c r="C36" s="268"/>
      <c r="D36" s="268"/>
      <c r="E36" s="172">
        <f>ROUND(LOGEST(G12:G21,A12:A21,TRUE, TRUE)-1,3)</f>
        <v>9.0999999999999998E-2</v>
      </c>
      <c r="F36" s="172">
        <f>ROUND(LOGEST($H$12:$H$21,$A$12:$A$21,TRUE, TRUE)-1,3)</f>
        <v>-5.5E-2</v>
      </c>
      <c r="G36" s="173">
        <f>RSQ(LN(G$12:G$21),$A$12:$A$21)</f>
        <v>0.83151644709744843</v>
      </c>
      <c r="H36" s="173">
        <f>RSQ(LN($H$12:$H$21),$A$12:$A$21)</f>
        <v>0.78410172397619915</v>
      </c>
    </row>
    <row r="37" spans="1:8" ht="13.9" x14ac:dyDescent="0.4">
      <c r="A37" s="268"/>
      <c r="B37" s="268"/>
      <c r="C37" s="268"/>
      <c r="D37" s="268"/>
      <c r="E37" s="172"/>
      <c r="F37" s="172"/>
      <c r="G37" s="173"/>
      <c r="H37" s="173"/>
    </row>
    <row r="38" spans="1:8" ht="13.9" x14ac:dyDescent="0.4">
      <c r="A38" s="268" t="s">
        <v>471</v>
      </c>
      <c r="B38" s="268"/>
      <c r="C38" s="268"/>
      <c r="D38" s="268"/>
      <c r="E38" s="172">
        <f>ROUND(LOGEST(G$14:G$21,$A$14:$A$21,TRUE, TRUE)-1,3)</f>
        <v>0.11</v>
      </c>
      <c r="F38" s="172">
        <f>ROUND(LOGEST($H$14:$H$21,$A$14:$A$21,TRUE, TRUE)-1,3)</f>
        <v>-6.5000000000000002E-2</v>
      </c>
      <c r="G38" s="173">
        <f>RSQ(LN(G$14:G$21),$A$14:$A$21)</f>
        <v>0.90388792607663115</v>
      </c>
      <c r="H38" s="173">
        <f>RSQ(LN($H$14:$H$21),$A$14:$A$21)</f>
        <v>0.8855222999920952</v>
      </c>
    </row>
    <row r="39" spans="1:8" ht="13.9" x14ac:dyDescent="0.35">
      <c r="A39" s="269"/>
      <c r="B39" s="269"/>
      <c r="C39" s="269"/>
      <c r="D39" s="269"/>
      <c r="E39" s="172"/>
      <c r="F39" s="172"/>
      <c r="G39" s="173"/>
      <c r="H39" s="173"/>
    </row>
    <row r="40" spans="1:8" ht="13.9" x14ac:dyDescent="0.4">
      <c r="A40" s="268" t="s">
        <v>472</v>
      </c>
      <c r="B40" s="268"/>
      <c r="C40" s="268"/>
      <c r="D40" s="268"/>
      <c r="E40" s="172">
        <f>ROUND(LOGEST(G$16:G$21,$A$16:$A$21,TRUE, TRUE)-1,3)</f>
        <v>0.128</v>
      </c>
      <c r="F40" s="172">
        <f>ROUND(LOGEST($H$16:$H$21,$A$16:$A$21,TRUE, TRUE)-1,3)</f>
        <v>-5.1999999999999998E-2</v>
      </c>
      <c r="G40" s="173">
        <f>RSQ(LN(G$16:G$21),$A$16:$A$21)</f>
        <v>0.87234314163653304</v>
      </c>
      <c r="H40" s="173">
        <f>RSQ(LN($H$16:$H$21),$A$16:$A$21)</f>
        <v>0.76854575022254346</v>
      </c>
    </row>
    <row r="41" spans="1:8" x14ac:dyDescent="0.35">
      <c r="A41" s="269"/>
      <c r="B41" s="269"/>
      <c r="C41" s="269"/>
      <c r="D41" s="269"/>
    </row>
    <row r="42" spans="1:8" ht="13.9" x14ac:dyDescent="0.4">
      <c r="A42" s="268" t="s">
        <v>473</v>
      </c>
      <c r="B42" s="268"/>
      <c r="C42" s="268"/>
      <c r="D42" s="268"/>
      <c r="E42" s="172">
        <f>DZ_INPUTS!B44</f>
        <v>0.08</v>
      </c>
      <c r="F42" s="172">
        <f>DZ_INPUTS!C44</f>
        <v>-0.06</v>
      </c>
    </row>
    <row r="44" spans="1:8" ht="13.9" x14ac:dyDescent="0.4">
      <c r="A44" s="174" t="s">
        <v>474</v>
      </c>
    </row>
    <row r="45" spans="1:8" ht="13.9" x14ac:dyDescent="0.4">
      <c r="A45" s="174" t="s">
        <v>475</v>
      </c>
    </row>
    <row r="46" spans="1:8" ht="13.9" x14ac:dyDescent="0.4">
      <c r="A46" s="268" t="s">
        <v>476</v>
      </c>
      <c r="B46" s="268"/>
      <c r="C46" s="268"/>
      <c r="D46" s="268"/>
      <c r="E46" s="172"/>
      <c r="F46" s="172"/>
    </row>
    <row r="47" spans="1:8" ht="13.9" x14ac:dyDescent="0.4">
      <c r="A47" s="174" t="s">
        <v>477</v>
      </c>
    </row>
  </sheetData>
  <mergeCells count="30">
    <mergeCell ref="A46:D46"/>
    <mergeCell ref="A33:D33"/>
    <mergeCell ref="G33:H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32:D32"/>
    <mergeCell ref="A7:H7"/>
    <mergeCell ref="A23:C23"/>
    <mergeCell ref="G23:H23"/>
    <mergeCell ref="A24:C24"/>
    <mergeCell ref="A25:C25"/>
    <mergeCell ref="A26:D26"/>
    <mergeCell ref="A27:D27"/>
    <mergeCell ref="A28:D28"/>
    <mergeCell ref="A29:D29"/>
    <mergeCell ref="A30:D30"/>
    <mergeCell ref="A31:D31"/>
    <mergeCell ref="A6:H6"/>
    <mergeCell ref="A1:H1"/>
    <mergeCell ref="A2:H2"/>
    <mergeCell ref="A3:H3"/>
    <mergeCell ref="A4:H4"/>
    <mergeCell ref="A5:H5"/>
  </mergeCells>
  <printOptions horizontalCentered="1"/>
  <pageMargins left="0.25" right="0.25" top="0.75" bottom="0.75" header="0.3" footer="0.3"/>
  <pageSetup firstPageNumber="0" orientation="portrait" useFirstPageNumber="1" r:id="rId1"/>
  <headerFooter>
    <oddHeader>&amp;L&amp;"Times New Roman"&amp;9INSURANCE SERVICES OFFICE, INC.</oddHeader>
    <oddFooter>&amp;C&amp;"Times New Roman"&amp;9© Insurance Services Office, Inc., 2022        		OREGON        BP-2021-RLA1&amp;R&amp;"Times New Roman"&amp;9&amp;A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9326A-1C9F-43E5-BD77-C1D215E516D4}">
  <sheetPr>
    <pageSetUpPr fitToPage="1"/>
  </sheetPr>
  <dimension ref="A1:K47"/>
  <sheetViews>
    <sheetView workbookViewId="0">
      <selection sqref="A1:F1"/>
    </sheetView>
  </sheetViews>
  <sheetFormatPr defaultColWidth="9.1328125" defaultRowHeight="13.15" x14ac:dyDescent="0.4"/>
  <cols>
    <col min="1" max="1" width="9.1328125" style="2"/>
    <col min="2" max="7" width="12.265625" style="2" bestFit="1" customWidth="1"/>
    <col min="8" max="8" width="7" style="2" customWidth="1"/>
    <col min="9" max="9" width="8.3984375" style="2" customWidth="1"/>
    <col min="10" max="11" width="8" style="2" customWidth="1"/>
    <col min="12" max="12" width="11.73046875" style="2" bestFit="1" customWidth="1"/>
    <col min="13" max="16384" width="9.1328125" style="2"/>
  </cols>
  <sheetData>
    <row r="1" spans="1:11" x14ac:dyDescent="0.4">
      <c r="A1" s="241" t="str">
        <f>UPPER(state)</f>
        <v>OREGON</v>
      </c>
      <c r="B1" s="241"/>
      <c r="C1" s="241"/>
      <c r="D1" s="241"/>
      <c r="E1" s="241"/>
      <c r="F1" s="241"/>
      <c r="H1" s="84"/>
      <c r="I1" s="188"/>
    </row>
    <row r="2" spans="1:11" x14ac:dyDescent="0.4">
      <c r="A2" s="241"/>
      <c r="B2" s="241"/>
      <c r="C2" s="241"/>
      <c r="D2" s="241"/>
      <c r="E2" s="241"/>
      <c r="F2" s="241"/>
      <c r="G2" s="42"/>
      <c r="H2" s="84"/>
      <c r="I2" s="84"/>
    </row>
    <row r="3" spans="1:11" x14ac:dyDescent="0.4">
      <c r="A3" s="241" t="s">
        <v>153</v>
      </c>
      <c r="B3" s="241"/>
      <c r="C3" s="241"/>
      <c r="D3" s="241"/>
      <c r="E3" s="241"/>
      <c r="F3" s="241"/>
      <c r="G3" s="42"/>
      <c r="H3" s="84"/>
      <c r="I3" s="188"/>
    </row>
    <row r="4" spans="1:11" x14ac:dyDescent="0.4">
      <c r="A4" s="241"/>
      <c r="B4" s="241"/>
      <c r="C4" s="241"/>
      <c r="D4" s="241"/>
      <c r="E4" s="241"/>
      <c r="F4" s="241"/>
      <c r="G4" s="42"/>
      <c r="H4" s="84"/>
      <c r="I4" s="84"/>
    </row>
    <row r="5" spans="1:11" x14ac:dyDescent="0.4">
      <c r="A5" s="241" t="s">
        <v>484</v>
      </c>
      <c r="B5" s="241"/>
      <c r="C5" s="241"/>
      <c r="D5" s="241"/>
      <c r="E5" s="241"/>
      <c r="F5" s="241"/>
      <c r="G5" s="42"/>
      <c r="H5" s="84"/>
      <c r="I5" s="84"/>
    </row>
    <row r="6" spans="1:11" x14ac:dyDescent="0.4">
      <c r="A6" s="239"/>
      <c r="B6" s="239"/>
      <c r="C6" s="239"/>
      <c r="D6" s="239"/>
      <c r="E6" s="239"/>
      <c r="F6" s="239"/>
      <c r="G6" s="42"/>
      <c r="H6" s="84"/>
      <c r="I6" s="84"/>
    </row>
    <row r="7" spans="1:11" x14ac:dyDescent="0.4">
      <c r="A7" s="241" t="s">
        <v>485</v>
      </c>
      <c r="B7" s="241"/>
      <c r="C7" s="241"/>
      <c r="D7" s="241"/>
      <c r="E7" s="241"/>
      <c r="F7" s="241"/>
      <c r="G7" s="42"/>
    </row>
    <row r="8" spans="1:11" x14ac:dyDescent="0.4">
      <c r="A8" s="241" t="str">
        <f>"LIABILITY - "&amp;IF($I$2="P","PAYROLL",IF($I$2="S","SALES","LESSORS/OCCUPANTS"))</f>
        <v>LIABILITY - LESSORS/OCCUPANTS</v>
      </c>
      <c r="B8" s="241"/>
      <c r="C8" s="241"/>
      <c r="D8" s="241"/>
      <c r="E8" s="241"/>
      <c r="F8" s="241"/>
      <c r="G8" s="42"/>
      <c r="H8" s="84"/>
      <c r="I8" s="84"/>
      <c r="J8" s="84"/>
      <c r="K8" s="84"/>
    </row>
    <row r="9" spans="1:11" x14ac:dyDescent="0.4">
      <c r="A9" s="42"/>
      <c r="B9" s="42"/>
      <c r="C9" s="42"/>
      <c r="D9" s="42"/>
      <c r="E9" s="42"/>
      <c r="F9" s="42"/>
      <c r="G9" s="42"/>
      <c r="H9" s="84"/>
      <c r="I9" s="84"/>
      <c r="J9" s="84"/>
      <c r="K9" s="84"/>
    </row>
    <row r="10" spans="1:11" x14ac:dyDescent="0.4">
      <c r="A10" s="243" t="s">
        <v>486</v>
      </c>
      <c r="B10" s="243"/>
      <c r="C10" s="243"/>
      <c r="D10" s="243"/>
      <c r="E10" s="243"/>
      <c r="F10" s="243"/>
      <c r="G10" s="52"/>
      <c r="H10" s="84"/>
      <c r="I10" s="84"/>
      <c r="J10" s="84"/>
      <c r="K10" s="84"/>
    </row>
    <row r="11" spans="1:11" x14ac:dyDescent="0.4">
      <c r="H11" s="84"/>
      <c r="I11" s="84"/>
      <c r="J11" s="84"/>
      <c r="K11" s="84"/>
    </row>
    <row r="12" spans="1:11" x14ac:dyDescent="0.4">
      <c r="E12" s="243" t="s">
        <v>487</v>
      </c>
      <c r="F12" s="243"/>
      <c r="H12" s="84"/>
      <c r="I12" s="84"/>
      <c r="J12" s="84"/>
      <c r="K12" s="84"/>
    </row>
    <row r="13" spans="1:11" x14ac:dyDescent="0.4">
      <c r="A13" s="52" t="s">
        <v>451</v>
      </c>
      <c r="B13" s="52" t="s">
        <v>488</v>
      </c>
      <c r="C13" s="52" t="s">
        <v>489</v>
      </c>
      <c r="D13" s="52" t="s">
        <v>490</v>
      </c>
      <c r="E13" s="189" t="s">
        <v>491</v>
      </c>
      <c r="F13" s="189" t="s">
        <v>492</v>
      </c>
      <c r="G13" s="52"/>
      <c r="H13" s="84"/>
      <c r="I13" s="84"/>
      <c r="J13" s="84"/>
      <c r="K13" s="84"/>
    </row>
    <row r="14" spans="1:11" x14ac:dyDescent="0.4">
      <c r="A14" s="42">
        <f t="shared" ref="A14:A26" si="0">A15-1</f>
        <v>2006</v>
      </c>
      <c r="B14" s="190">
        <v>1870510</v>
      </c>
      <c r="C14" s="190">
        <v>2239847</v>
      </c>
      <c r="D14" s="190">
        <v>2270170</v>
      </c>
      <c r="E14" s="73">
        <f t="shared" ref="E14:F26" si="1">ROUND(C14/B14,3)</f>
        <v>1.1970000000000001</v>
      </c>
      <c r="F14" s="73">
        <f t="shared" si="1"/>
        <v>1.014</v>
      </c>
      <c r="G14" s="191"/>
      <c r="H14" s="84"/>
      <c r="I14" s="84"/>
      <c r="J14" s="84"/>
      <c r="K14" s="84"/>
    </row>
    <row r="15" spans="1:11" x14ac:dyDescent="0.4">
      <c r="A15" s="42">
        <f t="shared" si="0"/>
        <v>2007</v>
      </c>
      <c r="B15" s="190">
        <v>1434244</v>
      </c>
      <c r="C15" s="190">
        <v>2034924</v>
      </c>
      <c r="D15" s="190">
        <v>2372290</v>
      </c>
      <c r="E15" s="73">
        <f t="shared" si="1"/>
        <v>1.419</v>
      </c>
      <c r="F15" s="73">
        <f t="shared" si="1"/>
        <v>1.1659999999999999</v>
      </c>
      <c r="G15" s="191"/>
      <c r="H15" s="84"/>
      <c r="I15" s="84"/>
      <c r="J15" s="84"/>
      <c r="K15" s="84"/>
    </row>
    <row r="16" spans="1:11" x14ac:dyDescent="0.4">
      <c r="A16" s="42">
        <f t="shared" si="0"/>
        <v>2008</v>
      </c>
      <c r="B16" s="190">
        <v>1050748</v>
      </c>
      <c r="C16" s="190">
        <v>1188582</v>
      </c>
      <c r="D16" s="190">
        <v>1766567</v>
      </c>
      <c r="E16" s="73">
        <f t="shared" si="1"/>
        <v>1.131</v>
      </c>
      <c r="F16" s="73">
        <f t="shared" si="1"/>
        <v>1.486</v>
      </c>
      <c r="G16" s="191"/>
      <c r="H16" s="84"/>
      <c r="I16" s="84"/>
      <c r="J16" s="84"/>
      <c r="K16" s="84"/>
    </row>
    <row r="17" spans="1:11" x14ac:dyDescent="0.4">
      <c r="A17" s="42">
        <f t="shared" si="0"/>
        <v>2009</v>
      </c>
      <c r="B17" s="190">
        <v>1229834</v>
      </c>
      <c r="C17" s="190">
        <v>1115665</v>
      </c>
      <c r="D17" s="190">
        <v>1264251</v>
      </c>
      <c r="E17" s="73">
        <f t="shared" si="1"/>
        <v>0.90700000000000003</v>
      </c>
      <c r="F17" s="73">
        <f t="shared" si="1"/>
        <v>1.133</v>
      </c>
      <c r="G17" s="191"/>
      <c r="H17" s="84"/>
      <c r="I17" s="84"/>
      <c r="J17" s="84"/>
      <c r="K17" s="84"/>
    </row>
    <row r="18" spans="1:11" x14ac:dyDescent="0.4">
      <c r="A18" s="42">
        <f t="shared" si="0"/>
        <v>2010</v>
      </c>
      <c r="B18" s="190">
        <v>1196755</v>
      </c>
      <c r="C18" s="190">
        <v>1213926</v>
      </c>
      <c r="D18" s="190">
        <v>1938479</v>
      </c>
      <c r="E18" s="73">
        <f t="shared" si="1"/>
        <v>1.014</v>
      </c>
      <c r="F18" s="73">
        <f t="shared" si="1"/>
        <v>1.597</v>
      </c>
      <c r="G18" s="191"/>
      <c r="H18" s="84"/>
      <c r="I18" s="84"/>
      <c r="J18" s="84"/>
      <c r="K18" s="84"/>
    </row>
    <row r="19" spans="1:11" x14ac:dyDescent="0.4">
      <c r="A19" s="42">
        <f t="shared" si="0"/>
        <v>2011</v>
      </c>
      <c r="B19" s="190">
        <v>1215090</v>
      </c>
      <c r="C19" s="190">
        <v>1930241</v>
      </c>
      <c r="D19" s="190">
        <v>1969766</v>
      </c>
      <c r="E19" s="73">
        <f t="shared" si="1"/>
        <v>1.589</v>
      </c>
      <c r="F19" s="73">
        <f t="shared" si="1"/>
        <v>1.02</v>
      </c>
      <c r="G19" s="191"/>
      <c r="H19" s="84"/>
      <c r="I19" s="84"/>
      <c r="J19" s="84"/>
      <c r="K19" s="84"/>
    </row>
    <row r="20" spans="1:11" x14ac:dyDescent="0.4">
      <c r="A20" s="42">
        <f t="shared" si="0"/>
        <v>2012</v>
      </c>
      <c r="B20" s="190">
        <v>1780043</v>
      </c>
      <c r="C20" s="190">
        <v>1584134</v>
      </c>
      <c r="D20" s="190">
        <v>1704308</v>
      </c>
      <c r="E20" s="73">
        <f t="shared" si="1"/>
        <v>0.89</v>
      </c>
      <c r="F20" s="73">
        <f t="shared" si="1"/>
        <v>1.0760000000000001</v>
      </c>
      <c r="G20" s="191"/>
      <c r="H20" s="84"/>
      <c r="I20" s="84"/>
      <c r="J20" s="84"/>
      <c r="K20" s="84"/>
    </row>
    <row r="21" spans="1:11" x14ac:dyDescent="0.4">
      <c r="A21" s="42">
        <f t="shared" si="0"/>
        <v>2013</v>
      </c>
      <c r="B21" s="190">
        <v>1198543</v>
      </c>
      <c r="C21" s="190">
        <v>1889439</v>
      </c>
      <c r="D21" s="190">
        <v>2561568</v>
      </c>
      <c r="E21" s="73">
        <f t="shared" si="1"/>
        <v>1.5760000000000001</v>
      </c>
      <c r="F21" s="73">
        <f t="shared" si="1"/>
        <v>1.3560000000000001</v>
      </c>
      <c r="G21" s="191"/>
      <c r="H21" s="84"/>
      <c r="I21" s="84"/>
      <c r="J21" s="84"/>
      <c r="K21" s="84"/>
    </row>
    <row r="22" spans="1:11" x14ac:dyDescent="0.4">
      <c r="A22" s="42">
        <f t="shared" si="0"/>
        <v>2014</v>
      </c>
      <c r="B22" s="190">
        <v>1286776</v>
      </c>
      <c r="C22" s="190">
        <v>1465594</v>
      </c>
      <c r="D22" s="190">
        <v>2513752</v>
      </c>
      <c r="E22" s="73">
        <f t="shared" si="1"/>
        <v>1.139</v>
      </c>
      <c r="F22" s="73">
        <f t="shared" si="1"/>
        <v>1.7150000000000001</v>
      </c>
      <c r="G22" s="191"/>
      <c r="H22" s="84"/>
      <c r="I22" s="84"/>
      <c r="J22" s="84"/>
      <c r="K22" s="84"/>
    </row>
    <row r="23" spans="1:11" x14ac:dyDescent="0.4">
      <c r="A23" s="42">
        <f t="shared" si="0"/>
        <v>2015</v>
      </c>
      <c r="B23" s="190">
        <v>1418547</v>
      </c>
      <c r="C23" s="190">
        <v>1451247</v>
      </c>
      <c r="D23" s="190">
        <v>1612765</v>
      </c>
      <c r="E23" s="73">
        <f t="shared" si="1"/>
        <v>1.0229999999999999</v>
      </c>
      <c r="F23" s="73">
        <f t="shared" si="1"/>
        <v>1.111</v>
      </c>
      <c r="G23" s="191"/>
      <c r="H23" s="84"/>
      <c r="I23" s="84"/>
      <c r="J23" s="84"/>
      <c r="K23" s="84"/>
    </row>
    <row r="24" spans="1:11" x14ac:dyDescent="0.4">
      <c r="A24" s="42">
        <f t="shared" si="0"/>
        <v>2016</v>
      </c>
      <c r="B24" s="190">
        <v>1331482</v>
      </c>
      <c r="C24" s="190">
        <v>1850066</v>
      </c>
      <c r="D24" s="190">
        <v>2049460</v>
      </c>
      <c r="E24" s="73">
        <f t="shared" si="1"/>
        <v>1.389</v>
      </c>
      <c r="F24" s="73">
        <f t="shared" si="1"/>
        <v>1.1080000000000001</v>
      </c>
      <c r="G24" s="191"/>
      <c r="H24" s="84"/>
      <c r="I24" s="84"/>
      <c r="J24" s="84"/>
      <c r="K24" s="84"/>
    </row>
    <row r="25" spans="1:11" x14ac:dyDescent="0.4">
      <c r="A25" s="42">
        <f t="shared" si="0"/>
        <v>2017</v>
      </c>
      <c r="B25" s="190">
        <v>1792171</v>
      </c>
      <c r="C25" s="190">
        <v>1686675</v>
      </c>
      <c r="D25" s="190">
        <v>2402756</v>
      </c>
      <c r="E25" s="73">
        <f t="shared" si="1"/>
        <v>0.94099999999999995</v>
      </c>
      <c r="F25" s="73">
        <f t="shared" si="1"/>
        <v>1.425</v>
      </c>
      <c r="G25" s="191"/>
    </row>
    <row r="26" spans="1:11" x14ac:dyDescent="0.4">
      <c r="A26" s="42">
        <f t="shared" si="0"/>
        <v>2018</v>
      </c>
      <c r="B26" s="190">
        <v>1297066</v>
      </c>
      <c r="C26" s="190">
        <v>2082022</v>
      </c>
      <c r="D26" s="190">
        <v>2484879</v>
      </c>
      <c r="E26" s="73">
        <f t="shared" si="1"/>
        <v>1.605</v>
      </c>
      <c r="F26" s="73">
        <f t="shared" si="1"/>
        <v>1.1930000000000001</v>
      </c>
      <c r="G26" s="191"/>
    </row>
    <row r="27" spans="1:11" x14ac:dyDescent="0.4">
      <c r="A27" s="42">
        <f>A28-1</f>
        <v>2019</v>
      </c>
      <c r="B27" s="190">
        <v>1803339</v>
      </c>
      <c r="C27" s="190">
        <v>2234521</v>
      </c>
      <c r="D27" s="190"/>
      <c r="E27" s="73">
        <f>ROUND(C27/B27,3)</f>
        <v>1.2390000000000001</v>
      </c>
      <c r="F27" s="73"/>
      <c r="G27" s="191"/>
      <c r="H27" s="191"/>
      <c r="I27" s="191"/>
      <c r="J27" s="191"/>
      <c r="K27" s="192"/>
    </row>
    <row r="28" spans="1:11" x14ac:dyDescent="0.4">
      <c r="A28" s="42">
        <f>YEAR(DZ_INPUTS!B3)</f>
        <v>2020</v>
      </c>
      <c r="B28" s="190">
        <v>1272412</v>
      </c>
      <c r="C28" s="190"/>
      <c r="D28" s="190"/>
      <c r="E28" s="191"/>
      <c r="F28" s="191"/>
      <c r="G28" s="191"/>
      <c r="H28" s="191"/>
      <c r="I28" s="191"/>
      <c r="J28" s="191"/>
      <c r="K28" s="191"/>
    </row>
    <row r="30" spans="1:11" x14ac:dyDescent="0.4">
      <c r="A30" s="42"/>
      <c r="B30" s="73"/>
      <c r="C30" s="73"/>
      <c r="D30" s="73"/>
      <c r="E30" s="73"/>
      <c r="F30" s="73"/>
      <c r="G30" s="73"/>
      <c r="H30" s="73"/>
      <c r="I30" s="73"/>
      <c r="J30" s="73"/>
      <c r="K30" s="73"/>
    </row>
    <row r="31" spans="1:11" x14ac:dyDescent="0.4">
      <c r="A31" s="42"/>
      <c r="B31" s="75"/>
      <c r="C31" s="75"/>
      <c r="D31" s="75"/>
      <c r="E31" s="75"/>
      <c r="F31" s="75"/>
      <c r="G31" s="75"/>
      <c r="H31" s="75"/>
      <c r="I31" s="75"/>
      <c r="J31" s="75"/>
      <c r="K31" s="75"/>
    </row>
    <row r="32" spans="1:11" x14ac:dyDescent="0.4">
      <c r="A32" s="90" t="s">
        <v>206</v>
      </c>
      <c r="B32" s="91" t="s">
        <v>493</v>
      </c>
      <c r="D32" s="2" t="s">
        <v>494</v>
      </c>
      <c r="E32" s="73">
        <f>ROUND((SUM(E23:E27)-MAX(E23:E27)-MIN(E23:E27))/3,3)</f>
        <v>1.2170000000000001</v>
      </c>
      <c r="F32" s="73">
        <f>ROUND((SUM(F22:F26)-MAX(F22:F26)-MIN(F22:F26))/3,3)</f>
        <v>1.2430000000000001</v>
      </c>
      <c r="G32" s="73"/>
      <c r="H32" s="73"/>
      <c r="I32" s="73"/>
      <c r="J32" s="73"/>
      <c r="K32" s="73"/>
    </row>
    <row r="33" spans="1:11" x14ac:dyDescent="0.4">
      <c r="A33" s="47"/>
      <c r="D33" s="61" t="s">
        <v>495</v>
      </c>
      <c r="E33" s="73">
        <f>'EXHIBIT C8-2'!B44</f>
        <v>1.5569999999999999</v>
      </c>
      <c r="F33" s="73">
        <f>'EXHIBIT C8-2'!C44</f>
        <v>1.2909999999999999</v>
      </c>
      <c r="G33" s="73"/>
      <c r="H33" s="73"/>
      <c r="I33" s="73"/>
      <c r="J33" s="73"/>
      <c r="K33" s="73"/>
    </row>
    <row r="34" spans="1:11" x14ac:dyDescent="0.4">
      <c r="A34" s="90" t="s">
        <v>207</v>
      </c>
      <c r="B34" s="2" t="s">
        <v>231</v>
      </c>
      <c r="E34" s="73">
        <f>ROUND((SUM(B25:B27)/(SUM(B25:B27)+5000000)),3)</f>
        <v>0.495</v>
      </c>
      <c r="F34" s="73">
        <f>ROUND((SUM(C24:C26)/(SUM(C24:C26)+65000000)),3)</f>
        <v>0.08</v>
      </c>
      <c r="G34" s="73"/>
      <c r="H34" s="73"/>
      <c r="I34" s="73"/>
      <c r="J34" s="73"/>
      <c r="K34" s="73"/>
    </row>
    <row r="35" spans="1:11" x14ac:dyDescent="0.4">
      <c r="A35" s="90" t="s">
        <v>208</v>
      </c>
      <c r="B35" s="2" t="s">
        <v>496</v>
      </c>
      <c r="E35" s="73">
        <f>ROUND((E32*E34)+(E33*(1-E34)),3)</f>
        <v>1.389</v>
      </c>
      <c r="F35" s="73">
        <f>ROUND((F32*F34)+(F33*(1-F34)),3)</f>
        <v>1.2869999999999999</v>
      </c>
    </row>
    <row r="38" spans="1:11" x14ac:dyDescent="0.4">
      <c r="C38" s="41" t="s">
        <v>497</v>
      </c>
    </row>
    <row r="40" spans="1:11" x14ac:dyDescent="0.4">
      <c r="D40" s="52" t="s">
        <v>290</v>
      </c>
    </row>
    <row r="41" spans="1:11" x14ac:dyDescent="0.4">
      <c r="B41" s="61" t="s">
        <v>498</v>
      </c>
      <c r="D41" s="73">
        <f>'EXHIBIT C8-2'!F47</f>
        <v>1.0229999999999999</v>
      </c>
    </row>
    <row r="42" spans="1:11" x14ac:dyDescent="0.4">
      <c r="B42" s="61" t="s">
        <v>499</v>
      </c>
      <c r="D42" s="73">
        <f>'EXHIBIT C8-2'!E47</f>
        <v>1.0569999999999999</v>
      </c>
    </row>
    <row r="43" spans="1:11" x14ac:dyDescent="0.4">
      <c r="B43" s="61" t="s">
        <v>500</v>
      </c>
      <c r="D43" s="73">
        <f>'EXHIBIT C8-2'!D47</f>
        <v>1.1739999999999999</v>
      </c>
    </row>
    <row r="44" spans="1:11" x14ac:dyDescent="0.4">
      <c r="B44" s="61" t="s">
        <v>501</v>
      </c>
      <c r="D44" s="73">
        <f>ROUND(D43*F35,3)</f>
        <v>1.5109999999999999</v>
      </c>
    </row>
    <row r="45" spans="1:11" x14ac:dyDescent="0.4">
      <c r="B45" s="61" t="s">
        <v>502</v>
      </c>
      <c r="D45" s="73">
        <f>ROUND(D44*E35,3)</f>
        <v>2.0990000000000002</v>
      </c>
    </row>
    <row r="47" spans="1:11" x14ac:dyDescent="0.4">
      <c r="B47" s="61" t="s">
        <v>503</v>
      </c>
    </row>
  </sheetData>
  <mergeCells count="10">
    <mergeCell ref="A7:F7"/>
    <mergeCell ref="A8:F8"/>
    <mergeCell ref="A10:F10"/>
    <mergeCell ref="E12:F12"/>
    <mergeCell ref="A1:F1"/>
    <mergeCell ref="A2:F2"/>
    <mergeCell ref="A3:F3"/>
    <mergeCell ref="A4:F4"/>
    <mergeCell ref="A5:F5"/>
    <mergeCell ref="A6:F6"/>
  </mergeCells>
  <printOptions horizontalCentered="1"/>
  <pageMargins left="0.25" right="0.25" top="0.75" bottom="0.75" header="0.3" footer="0.3"/>
  <pageSetup firstPageNumber="0" orientation="portrait" useFirstPageNumber="1" r:id="rId1"/>
  <headerFooter>
    <oddHeader>&amp;L&amp;"Times New Roman"&amp;9INSURANCE SERVICES OFFICE, INC.</oddHeader>
    <oddFooter>&amp;C&amp;"Times New Roman"&amp;9© Insurance Services Office, Inc., 2022        		OREGON        BP-2021-RLA1&amp;R&amp;"Times New Roman"&amp;9&amp;A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CAB109-6B57-4039-A647-A1BD5E0DF661}">
  <sheetPr>
    <pageSetUpPr fitToPage="1"/>
  </sheetPr>
  <dimension ref="A1:L49"/>
  <sheetViews>
    <sheetView workbookViewId="0">
      <selection sqref="A1:L1"/>
    </sheetView>
  </sheetViews>
  <sheetFormatPr defaultColWidth="9" defaultRowHeight="13.15" x14ac:dyDescent="0.4"/>
  <cols>
    <col min="1" max="1" width="10.1328125" style="2" bestFit="1" customWidth="1"/>
    <col min="2" max="9" width="12.265625" style="2" bestFit="1" customWidth="1"/>
    <col min="10" max="12" width="12.3984375" style="2" bestFit="1" customWidth="1"/>
    <col min="13" max="13" width="11.73046875" style="2" bestFit="1" customWidth="1"/>
    <col min="14" max="16384" width="9" style="2"/>
  </cols>
  <sheetData>
    <row r="1" spans="1:12" x14ac:dyDescent="0.4">
      <c r="A1" s="241"/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</row>
    <row r="2" spans="1:12" x14ac:dyDescent="0.4">
      <c r="A2" s="241" t="s">
        <v>153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</row>
    <row r="3" spans="1:12" x14ac:dyDescent="0.4">
      <c r="A3" s="241" t="s">
        <v>504</v>
      </c>
      <c r="B3" s="241"/>
      <c r="C3" s="241"/>
      <c r="D3" s="241"/>
      <c r="E3" s="241"/>
      <c r="F3" s="241"/>
      <c r="G3" s="241"/>
      <c r="H3" s="241"/>
      <c r="I3" s="241"/>
      <c r="J3" s="241"/>
      <c r="K3" s="241"/>
      <c r="L3" s="241"/>
    </row>
    <row r="4" spans="1:12" x14ac:dyDescent="0.4">
      <c r="A4" s="241" t="s">
        <v>505</v>
      </c>
      <c r="B4" s="241"/>
      <c r="C4" s="241"/>
      <c r="D4" s="241"/>
      <c r="E4" s="241"/>
      <c r="F4" s="241"/>
      <c r="G4" s="241"/>
      <c r="H4" s="241"/>
      <c r="I4" s="241"/>
      <c r="J4" s="241"/>
      <c r="K4" s="241"/>
      <c r="L4" s="241"/>
    </row>
    <row r="5" spans="1:12" x14ac:dyDescent="0.4">
      <c r="A5" s="241" t="s">
        <v>506</v>
      </c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</row>
    <row r="6" spans="1:12" x14ac:dyDescent="0.4">
      <c r="A6" s="243" t="s">
        <v>486</v>
      </c>
      <c r="B6" s="243"/>
      <c r="C6" s="243"/>
      <c r="D6" s="243"/>
      <c r="E6" s="243"/>
      <c r="F6" s="243"/>
      <c r="G6" s="243"/>
      <c r="H6" s="243"/>
      <c r="I6" s="243"/>
      <c r="J6" s="243"/>
      <c r="K6" s="243"/>
      <c r="L6" s="243"/>
    </row>
    <row r="8" spans="1:12" x14ac:dyDescent="0.4">
      <c r="A8" s="52" t="s">
        <v>451</v>
      </c>
      <c r="B8" s="52" t="s">
        <v>488</v>
      </c>
      <c r="C8" s="52" t="s">
        <v>489</v>
      </c>
      <c r="D8" s="52" t="s">
        <v>490</v>
      </c>
      <c r="E8" s="52" t="s">
        <v>507</v>
      </c>
      <c r="F8" s="52" t="s">
        <v>508</v>
      </c>
      <c r="G8" s="52" t="s">
        <v>509</v>
      </c>
      <c r="H8" s="52" t="s">
        <v>510</v>
      </c>
      <c r="I8" s="52" t="s">
        <v>511</v>
      </c>
      <c r="J8" s="52" t="s">
        <v>512</v>
      </c>
      <c r="K8" s="52" t="s">
        <v>513</v>
      </c>
      <c r="L8" s="52"/>
    </row>
    <row r="9" spans="1:12" x14ac:dyDescent="0.4">
      <c r="A9" s="193">
        <f t="shared" ref="A9:A21" si="0">A10-1</f>
        <v>2006</v>
      </c>
      <c r="B9" s="190">
        <v>156493652</v>
      </c>
      <c r="C9" s="190">
        <v>215821796</v>
      </c>
      <c r="D9" s="190">
        <v>265778814</v>
      </c>
      <c r="E9" s="190">
        <v>278298748</v>
      </c>
      <c r="F9" s="190">
        <v>278110638</v>
      </c>
      <c r="G9" s="190">
        <v>279862195</v>
      </c>
      <c r="H9" s="190">
        <v>280375620</v>
      </c>
      <c r="I9" s="190">
        <v>280678897</v>
      </c>
      <c r="J9" s="190">
        <v>281043734</v>
      </c>
      <c r="K9" s="190">
        <v>283474796</v>
      </c>
      <c r="L9" s="191"/>
    </row>
    <row r="10" spans="1:12" x14ac:dyDescent="0.4">
      <c r="A10" s="193">
        <f t="shared" si="0"/>
        <v>2007</v>
      </c>
      <c r="B10" s="190">
        <v>159777772</v>
      </c>
      <c r="C10" s="190">
        <v>228428382</v>
      </c>
      <c r="D10" s="190">
        <v>270704456</v>
      </c>
      <c r="E10" s="190">
        <v>284244740</v>
      </c>
      <c r="F10" s="190">
        <v>288193733</v>
      </c>
      <c r="G10" s="190">
        <v>288912142</v>
      </c>
      <c r="H10" s="190">
        <v>290574063</v>
      </c>
      <c r="I10" s="190">
        <v>293075059</v>
      </c>
      <c r="J10" s="190">
        <v>293618123</v>
      </c>
      <c r="K10" s="190">
        <v>292270130</v>
      </c>
      <c r="L10" s="191"/>
    </row>
    <row r="11" spans="1:12" x14ac:dyDescent="0.4">
      <c r="A11" s="193">
        <f t="shared" si="0"/>
        <v>2008</v>
      </c>
      <c r="B11" s="190">
        <v>184242112</v>
      </c>
      <c r="C11" s="190">
        <v>249716348</v>
      </c>
      <c r="D11" s="190">
        <v>291074891</v>
      </c>
      <c r="E11" s="190">
        <v>313100503</v>
      </c>
      <c r="F11" s="190">
        <v>316685033</v>
      </c>
      <c r="G11" s="190">
        <v>315488435</v>
      </c>
      <c r="H11" s="190">
        <v>316087705</v>
      </c>
      <c r="I11" s="190">
        <v>316947279</v>
      </c>
      <c r="J11" s="190">
        <v>317145960</v>
      </c>
      <c r="K11" s="190">
        <v>317184220</v>
      </c>
      <c r="L11" s="191"/>
    </row>
    <row r="12" spans="1:12" x14ac:dyDescent="0.4">
      <c r="A12" s="193">
        <f t="shared" si="0"/>
        <v>2009</v>
      </c>
      <c r="B12" s="190">
        <v>177855314</v>
      </c>
      <c r="C12" s="190">
        <v>247220527</v>
      </c>
      <c r="D12" s="190">
        <v>299426913</v>
      </c>
      <c r="E12" s="190">
        <v>317340402</v>
      </c>
      <c r="F12" s="190">
        <v>324437532</v>
      </c>
      <c r="G12" s="190">
        <v>325409245</v>
      </c>
      <c r="H12" s="190">
        <v>320238829</v>
      </c>
      <c r="I12" s="190">
        <v>321617084</v>
      </c>
      <c r="J12" s="190">
        <v>321834000</v>
      </c>
      <c r="K12" s="190">
        <v>321446832</v>
      </c>
      <c r="L12" s="191"/>
    </row>
    <row r="13" spans="1:12" x14ac:dyDescent="0.4">
      <c r="A13" s="193">
        <f t="shared" si="0"/>
        <v>2010</v>
      </c>
      <c r="B13" s="190">
        <v>177239382</v>
      </c>
      <c r="C13" s="190">
        <v>248811756</v>
      </c>
      <c r="D13" s="190">
        <v>303056849</v>
      </c>
      <c r="E13" s="190">
        <v>326354888</v>
      </c>
      <c r="F13" s="190">
        <v>330504910</v>
      </c>
      <c r="G13" s="190">
        <v>329835937</v>
      </c>
      <c r="H13" s="190">
        <v>331311486</v>
      </c>
      <c r="I13" s="190">
        <v>331300953</v>
      </c>
      <c r="J13" s="190">
        <v>332168069</v>
      </c>
      <c r="K13" s="190">
        <v>333184013</v>
      </c>
      <c r="L13" s="191"/>
    </row>
    <row r="14" spans="1:12" x14ac:dyDescent="0.4">
      <c r="A14" s="193">
        <f t="shared" si="0"/>
        <v>2011</v>
      </c>
      <c r="B14" s="190">
        <v>182665953</v>
      </c>
      <c r="C14" s="190">
        <v>262060822</v>
      </c>
      <c r="D14" s="190">
        <v>328585620</v>
      </c>
      <c r="E14" s="190">
        <v>357515821</v>
      </c>
      <c r="F14" s="190">
        <v>366449217</v>
      </c>
      <c r="G14" s="190">
        <v>370785321</v>
      </c>
      <c r="H14" s="190">
        <v>372284067</v>
      </c>
      <c r="I14" s="190">
        <v>377564487</v>
      </c>
      <c r="J14" s="190">
        <v>379296571</v>
      </c>
      <c r="K14" s="190">
        <v>379807058</v>
      </c>
      <c r="L14" s="191"/>
    </row>
    <row r="15" spans="1:12" x14ac:dyDescent="0.4">
      <c r="A15" s="193">
        <f t="shared" si="0"/>
        <v>2012</v>
      </c>
      <c r="B15" s="190">
        <v>155805978</v>
      </c>
      <c r="C15" s="190">
        <v>219496982</v>
      </c>
      <c r="D15" s="190">
        <v>266876625</v>
      </c>
      <c r="E15" s="190">
        <v>287536419</v>
      </c>
      <c r="F15" s="190">
        <v>295101441</v>
      </c>
      <c r="G15" s="190">
        <v>295253711</v>
      </c>
      <c r="H15" s="190">
        <v>296543454</v>
      </c>
      <c r="I15" s="190">
        <v>297235080</v>
      </c>
      <c r="J15" s="190">
        <v>298189782</v>
      </c>
      <c r="K15" s="190" t="s">
        <v>619</v>
      </c>
      <c r="L15" s="191"/>
    </row>
    <row r="16" spans="1:12" x14ac:dyDescent="0.4">
      <c r="A16" s="193">
        <f t="shared" si="0"/>
        <v>2013</v>
      </c>
      <c r="B16" s="190">
        <v>139090719</v>
      </c>
      <c r="C16" s="190">
        <v>204280434</v>
      </c>
      <c r="D16" s="190">
        <v>246272365</v>
      </c>
      <c r="E16" s="190">
        <v>266344748</v>
      </c>
      <c r="F16" s="190">
        <v>276061081</v>
      </c>
      <c r="G16" s="190">
        <v>277880672</v>
      </c>
      <c r="H16" s="190">
        <v>280464188</v>
      </c>
      <c r="I16" s="190">
        <v>281465559</v>
      </c>
      <c r="J16" s="190" t="s">
        <v>619</v>
      </c>
      <c r="K16" s="190" t="s">
        <v>619</v>
      </c>
      <c r="L16" s="191"/>
    </row>
    <row r="17" spans="1:12" x14ac:dyDescent="0.4">
      <c r="A17" s="193">
        <f t="shared" si="0"/>
        <v>2014</v>
      </c>
      <c r="B17" s="190">
        <v>159641004</v>
      </c>
      <c r="C17" s="190">
        <v>239439463</v>
      </c>
      <c r="D17" s="190">
        <v>314100429</v>
      </c>
      <c r="E17" s="190">
        <v>354075687</v>
      </c>
      <c r="F17" s="190">
        <v>364564904</v>
      </c>
      <c r="G17" s="190">
        <v>370274830</v>
      </c>
      <c r="H17" s="190">
        <v>373800102</v>
      </c>
      <c r="I17" s="190" t="s">
        <v>619</v>
      </c>
      <c r="J17" s="190" t="s">
        <v>619</v>
      </c>
      <c r="K17" s="190" t="s">
        <v>619</v>
      </c>
      <c r="L17" s="191"/>
    </row>
    <row r="18" spans="1:12" x14ac:dyDescent="0.4">
      <c r="A18" s="193">
        <f t="shared" si="0"/>
        <v>2015</v>
      </c>
      <c r="B18" s="190">
        <v>153595792</v>
      </c>
      <c r="C18" s="190">
        <v>246589790</v>
      </c>
      <c r="D18" s="190">
        <v>323915048</v>
      </c>
      <c r="E18" s="190">
        <v>358577375</v>
      </c>
      <c r="F18" s="190">
        <v>370159136</v>
      </c>
      <c r="G18" s="190">
        <v>378839055</v>
      </c>
      <c r="H18" s="190" t="s">
        <v>619</v>
      </c>
      <c r="I18" s="190" t="s">
        <v>619</v>
      </c>
      <c r="J18" s="190" t="s">
        <v>619</v>
      </c>
      <c r="K18" s="190" t="s">
        <v>619</v>
      </c>
      <c r="L18" s="191"/>
    </row>
    <row r="19" spans="1:12" x14ac:dyDescent="0.4">
      <c r="A19" s="193">
        <f t="shared" si="0"/>
        <v>2016</v>
      </c>
      <c r="B19" s="190">
        <v>152694024</v>
      </c>
      <c r="C19" s="190">
        <v>232987592</v>
      </c>
      <c r="D19" s="190">
        <v>297590431</v>
      </c>
      <c r="E19" s="190">
        <v>327107895</v>
      </c>
      <c r="F19" s="190">
        <v>347478654</v>
      </c>
      <c r="G19" s="190" t="s">
        <v>619</v>
      </c>
      <c r="H19" s="190" t="s">
        <v>619</v>
      </c>
      <c r="I19" s="190" t="s">
        <v>619</v>
      </c>
      <c r="J19" s="190" t="s">
        <v>619</v>
      </c>
      <c r="K19" s="190" t="s">
        <v>619</v>
      </c>
      <c r="L19" s="191"/>
    </row>
    <row r="20" spans="1:12" x14ac:dyDescent="0.4">
      <c r="A20" s="193">
        <f t="shared" si="0"/>
        <v>2017</v>
      </c>
      <c r="B20" s="190">
        <v>163713717</v>
      </c>
      <c r="C20" s="190">
        <v>239240809</v>
      </c>
      <c r="D20" s="190">
        <v>307165347</v>
      </c>
      <c r="E20" s="190">
        <v>349125927</v>
      </c>
      <c r="F20" s="190" t="s">
        <v>619</v>
      </c>
      <c r="G20" s="190" t="s">
        <v>619</v>
      </c>
      <c r="H20" s="190" t="s">
        <v>619</v>
      </c>
      <c r="I20" s="190" t="s">
        <v>619</v>
      </c>
      <c r="J20" s="190" t="s">
        <v>619</v>
      </c>
      <c r="K20" s="190" t="s">
        <v>619</v>
      </c>
      <c r="L20" s="191"/>
    </row>
    <row r="21" spans="1:12" x14ac:dyDescent="0.4">
      <c r="A21" s="193">
        <f t="shared" si="0"/>
        <v>2018</v>
      </c>
      <c r="B21" s="190">
        <v>164480028</v>
      </c>
      <c r="C21" s="190">
        <v>263743757</v>
      </c>
      <c r="D21" s="190">
        <v>335946779</v>
      </c>
      <c r="E21" s="190" t="s">
        <v>619</v>
      </c>
      <c r="F21" s="190" t="s">
        <v>619</v>
      </c>
      <c r="G21" s="190" t="s">
        <v>619</v>
      </c>
      <c r="H21" s="190" t="s">
        <v>619</v>
      </c>
      <c r="I21" s="190" t="s">
        <v>619</v>
      </c>
      <c r="J21" s="190" t="s">
        <v>619</v>
      </c>
      <c r="K21" s="190" t="s">
        <v>619</v>
      </c>
      <c r="L21" s="191"/>
    </row>
    <row r="22" spans="1:12" x14ac:dyDescent="0.4">
      <c r="A22" s="193">
        <f>A23-1</f>
        <v>2019</v>
      </c>
      <c r="B22" s="190">
        <v>165845224</v>
      </c>
      <c r="C22" s="190">
        <v>255470695</v>
      </c>
      <c r="D22" s="190" t="s">
        <v>619</v>
      </c>
      <c r="E22" s="190" t="s">
        <v>619</v>
      </c>
      <c r="F22" s="190" t="s">
        <v>619</v>
      </c>
      <c r="G22" s="190" t="s">
        <v>619</v>
      </c>
      <c r="H22" s="190" t="s">
        <v>619</v>
      </c>
      <c r="I22" s="190" t="s">
        <v>619</v>
      </c>
      <c r="J22" s="190" t="s">
        <v>619</v>
      </c>
      <c r="K22" s="190" t="s">
        <v>619</v>
      </c>
      <c r="L22" s="191"/>
    </row>
    <row r="23" spans="1:12" x14ac:dyDescent="0.4">
      <c r="A23" s="193">
        <f>YEAR(DZ_INPUTS!B3)</f>
        <v>2020</v>
      </c>
      <c r="B23" s="190">
        <v>149284248</v>
      </c>
      <c r="C23" s="190" t="s">
        <v>619</v>
      </c>
      <c r="D23" s="190" t="s">
        <v>619</v>
      </c>
      <c r="E23" s="190" t="s">
        <v>619</v>
      </c>
      <c r="F23" s="190" t="s">
        <v>619</v>
      </c>
      <c r="G23" s="190" t="s">
        <v>619</v>
      </c>
      <c r="H23" s="190" t="s">
        <v>619</v>
      </c>
      <c r="I23" s="190" t="s">
        <v>619</v>
      </c>
      <c r="J23" s="190" t="s">
        <v>619</v>
      </c>
      <c r="K23" s="190" t="s">
        <v>619</v>
      </c>
      <c r="L23" s="191"/>
    </row>
    <row r="24" spans="1:12" ht="7.15" customHeight="1" x14ac:dyDescent="0.4"/>
    <row r="25" spans="1:12" x14ac:dyDescent="0.4">
      <c r="A25" s="243" t="s">
        <v>514</v>
      </c>
      <c r="B25" s="243"/>
      <c r="C25" s="243"/>
      <c r="D25" s="243"/>
      <c r="E25" s="243"/>
      <c r="F25" s="243"/>
      <c r="G25" s="243"/>
      <c r="H25" s="243"/>
      <c r="I25" s="243"/>
      <c r="J25" s="243"/>
      <c r="K25" s="243"/>
      <c r="L25" s="243"/>
    </row>
    <row r="26" spans="1:12" ht="7.15" customHeight="1" x14ac:dyDescent="0.4"/>
    <row r="27" spans="1:12" x14ac:dyDescent="0.4">
      <c r="A27" s="52" t="s">
        <v>451</v>
      </c>
      <c r="B27" s="189" t="s">
        <v>491</v>
      </c>
      <c r="C27" s="189" t="s">
        <v>492</v>
      </c>
      <c r="D27" s="189" t="s">
        <v>515</v>
      </c>
      <c r="E27" s="189" t="s">
        <v>516</v>
      </c>
      <c r="F27" s="189" t="s">
        <v>517</v>
      </c>
      <c r="G27" s="189" t="s">
        <v>518</v>
      </c>
      <c r="H27" s="189" t="s">
        <v>519</v>
      </c>
      <c r="I27" s="189" t="s">
        <v>520</v>
      </c>
      <c r="J27" s="189" t="s">
        <v>521</v>
      </c>
      <c r="K27" s="189"/>
    </row>
    <row r="28" spans="1:12" x14ac:dyDescent="0.4">
      <c r="A28" s="42">
        <f>A9</f>
        <v>2006</v>
      </c>
      <c r="B28" s="73">
        <f>ROUND(C9/B9,3)</f>
        <v>1.379</v>
      </c>
      <c r="C28" s="73">
        <f t="shared" ref="C28:J28" si="1">ROUND(D9/C9,3)</f>
        <v>1.2310000000000001</v>
      </c>
      <c r="D28" s="73">
        <f t="shared" si="1"/>
        <v>1.0469999999999999</v>
      </c>
      <c r="E28" s="73">
        <f t="shared" si="1"/>
        <v>0.999</v>
      </c>
      <c r="F28" s="73">
        <f t="shared" si="1"/>
        <v>1.006</v>
      </c>
      <c r="G28" s="73">
        <f t="shared" si="1"/>
        <v>1.002</v>
      </c>
      <c r="H28" s="73">
        <f t="shared" si="1"/>
        <v>1.0009999999999999</v>
      </c>
      <c r="I28" s="73">
        <f t="shared" si="1"/>
        <v>1.0009999999999999</v>
      </c>
      <c r="J28" s="73">
        <f t="shared" si="1"/>
        <v>1.0089999999999999</v>
      </c>
      <c r="K28" s="73"/>
    </row>
    <row r="29" spans="1:12" x14ac:dyDescent="0.4">
      <c r="A29" s="42">
        <f t="shared" ref="A29:A41" si="2">A10</f>
        <v>2007</v>
      </c>
      <c r="B29" s="73">
        <f t="shared" ref="B29:J41" si="3">ROUND(C10/B10,3)</f>
        <v>1.43</v>
      </c>
      <c r="C29" s="73">
        <f t="shared" si="3"/>
        <v>1.1850000000000001</v>
      </c>
      <c r="D29" s="73">
        <f t="shared" si="3"/>
        <v>1.05</v>
      </c>
      <c r="E29" s="73">
        <f t="shared" si="3"/>
        <v>1.014</v>
      </c>
      <c r="F29" s="73">
        <f t="shared" si="3"/>
        <v>1.002</v>
      </c>
      <c r="G29" s="73">
        <f t="shared" si="3"/>
        <v>1.006</v>
      </c>
      <c r="H29" s="73">
        <f t="shared" si="3"/>
        <v>1.0089999999999999</v>
      </c>
      <c r="I29" s="73">
        <f t="shared" si="3"/>
        <v>1.002</v>
      </c>
      <c r="J29" s="73">
        <f t="shared" si="3"/>
        <v>0.995</v>
      </c>
      <c r="K29" s="73"/>
    </row>
    <row r="30" spans="1:12" x14ac:dyDescent="0.4">
      <c r="A30" s="42">
        <f t="shared" si="2"/>
        <v>2008</v>
      </c>
      <c r="B30" s="73">
        <f t="shared" si="3"/>
        <v>1.355</v>
      </c>
      <c r="C30" s="73">
        <f t="shared" si="3"/>
        <v>1.1659999999999999</v>
      </c>
      <c r="D30" s="73">
        <f t="shared" si="3"/>
        <v>1.0760000000000001</v>
      </c>
      <c r="E30" s="73">
        <f t="shared" si="3"/>
        <v>1.0109999999999999</v>
      </c>
      <c r="F30" s="73">
        <f t="shared" si="3"/>
        <v>0.996</v>
      </c>
      <c r="G30" s="73">
        <f t="shared" si="3"/>
        <v>1.002</v>
      </c>
      <c r="H30" s="73">
        <f t="shared" si="3"/>
        <v>1.0029999999999999</v>
      </c>
      <c r="I30" s="73">
        <f t="shared" si="3"/>
        <v>1.0009999999999999</v>
      </c>
      <c r="J30" s="73">
        <f t="shared" si="3"/>
        <v>1</v>
      </c>
      <c r="K30" s="73"/>
    </row>
    <row r="31" spans="1:12" x14ac:dyDescent="0.4">
      <c r="A31" s="42">
        <f t="shared" si="2"/>
        <v>2009</v>
      </c>
      <c r="B31" s="73">
        <f t="shared" si="3"/>
        <v>1.39</v>
      </c>
      <c r="C31" s="73">
        <f t="shared" si="3"/>
        <v>1.2110000000000001</v>
      </c>
      <c r="D31" s="73">
        <f t="shared" si="3"/>
        <v>1.06</v>
      </c>
      <c r="E31" s="73">
        <f t="shared" si="3"/>
        <v>1.022</v>
      </c>
      <c r="F31" s="73">
        <f t="shared" si="3"/>
        <v>1.0029999999999999</v>
      </c>
      <c r="G31" s="73">
        <f t="shared" si="3"/>
        <v>0.98399999999999999</v>
      </c>
      <c r="H31" s="73">
        <f t="shared" si="3"/>
        <v>1.004</v>
      </c>
      <c r="I31" s="73">
        <f t="shared" si="3"/>
        <v>1.0009999999999999</v>
      </c>
      <c r="J31" s="73">
        <f t="shared" si="3"/>
        <v>0.999</v>
      </c>
      <c r="K31" s="73"/>
    </row>
    <row r="32" spans="1:12" x14ac:dyDescent="0.4">
      <c r="A32" s="42">
        <f t="shared" si="2"/>
        <v>2010</v>
      </c>
      <c r="B32" s="73">
        <f t="shared" si="3"/>
        <v>1.4039999999999999</v>
      </c>
      <c r="C32" s="73">
        <f t="shared" si="3"/>
        <v>1.218</v>
      </c>
      <c r="D32" s="73">
        <f t="shared" si="3"/>
        <v>1.077</v>
      </c>
      <c r="E32" s="73">
        <f t="shared" si="3"/>
        <v>1.0129999999999999</v>
      </c>
      <c r="F32" s="73">
        <f t="shared" si="3"/>
        <v>0.998</v>
      </c>
      <c r="G32" s="73">
        <f t="shared" si="3"/>
        <v>1.004</v>
      </c>
      <c r="H32" s="73">
        <f t="shared" si="3"/>
        <v>1</v>
      </c>
      <c r="I32" s="73">
        <f t="shared" si="3"/>
        <v>1.0029999999999999</v>
      </c>
      <c r="J32" s="73">
        <f t="shared" si="3"/>
        <v>1.0029999999999999</v>
      </c>
      <c r="K32" s="73"/>
    </row>
    <row r="33" spans="1:11" x14ac:dyDescent="0.4">
      <c r="A33" s="42">
        <f t="shared" si="2"/>
        <v>2011</v>
      </c>
      <c r="B33" s="73">
        <f t="shared" si="3"/>
        <v>1.4350000000000001</v>
      </c>
      <c r="C33" s="73">
        <f t="shared" si="3"/>
        <v>1.254</v>
      </c>
      <c r="D33" s="73">
        <f t="shared" si="3"/>
        <v>1.0880000000000001</v>
      </c>
      <c r="E33" s="73">
        <f t="shared" si="3"/>
        <v>1.0249999999999999</v>
      </c>
      <c r="F33" s="73">
        <f t="shared" si="3"/>
        <v>1.012</v>
      </c>
      <c r="G33" s="73">
        <f t="shared" si="3"/>
        <v>1.004</v>
      </c>
      <c r="H33" s="73">
        <f t="shared" si="3"/>
        <v>1.014</v>
      </c>
      <c r="I33" s="73">
        <f t="shared" si="3"/>
        <v>1.0049999999999999</v>
      </c>
      <c r="J33" s="73">
        <f t="shared" si="3"/>
        <v>1.0009999999999999</v>
      </c>
      <c r="K33" s="73"/>
    </row>
    <row r="34" spans="1:11" x14ac:dyDescent="0.4">
      <c r="A34" s="42">
        <f t="shared" si="2"/>
        <v>2012</v>
      </c>
      <c r="B34" s="73">
        <f t="shared" si="3"/>
        <v>1.409</v>
      </c>
      <c r="C34" s="73">
        <f t="shared" si="3"/>
        <v>1.216</v>
      </c>
      <c r="D34" s="73">
        <f t="shared" si="3"/>
        <v>1.077</v>
      </c>
      <c r="E34" s="73">
        <f t="shared" si="3"/>
        <v>1.026</v>
      </c>
      <c r="F34" s="73">
        <f t="shared" si="3"/>
        <v>1.0009999999999999</v>
      </c>
      <c r="G34" s="73">
        <f t="shared" si="3"/>
        <v>1.004</v>
      </c>
      <c r="H34" s="73">
        <f t="shared" si="3"/>
        <v>1.002</v>
      </c>
      <c r="I34" s="73">
        <f t="shared" si="3"/>
        <v>1.0029999999999999</v>
      </c>
      <c r="J34" s="73"/>
      <c r="K34" s="73"/>
    </row>
    <row r="35" spans="1:11" x14ac:dyDescent="0.4">
      <c r="A35" s="42">
        <f t="shared" si="2"/>
        <v>2013</v>
      </c>
      <c r="B35" s="73">
        <f t="shared" si="3"/>
        <v>1.4690000000000001</v>
      </c>
      <c r="C35" s="73">
        <f t="shared" si="3"/>
        <v>1.206</v>
      </c>
      <c r="D35" s="73">
        <f t="shared" si="3"/>
        <v>1.0820000000000001</v>
      </c>
      <c r="E35" s="73">
        <f t="shared" si="3"/>
        <v>1.036</v>
      </c>
      <c r="F35" s="73">
        <f t="shared" si="3"/>
        <v>1.0069999999999999</v>
      </c>
      <c r="G35" s="73">
        <f t="shared" si="3"/>
        <v>1.0089999999999999</v>
      </c>
      <c r="H35" s="73">
        <f t="shared" si="3"/>
        <v>1.004</v>
      </c>
      <c r="I35" s="73"/>
      <c r="J35" s="73"/>
      <c r="K35" s="73"/>
    </row>
    <row r="36" spans="1:11" x14ac:dyDescent="0.4">
      <c r="A36" s="42">
        <f t="shared" si="2"/>
        <v>2014</v>
      </c>
      <c r="B36" s="73">
        <f t="shared" si="3"/>
        <v>1.5</v>
      </c>
      <c r="C36" s="73">
        <f t="shared" si="3"/>
        <v>1.3120000000000001</v>
      </c>
      <c r="D36" s="73">
        <f t="shared" si="3"/>
        <v>1.127</v>
      </c>
      <c r="E36" s="73">
        <f t="shared" si="3"/>
        <v>1.03</v>
      </c>
      <c r="F36" s="73">
        <f t="shared" si="3"/>
        <v>1.016</v>
      </c>
      <c r="G36" s="73">
        <f t="shared" si="3"/>
        <v>1.01</v>
      </c>
      <c r="H36" s="73"/>
      <c r="I36" s="73"/>
      <c r="J36" s="73"/>
      <c r="K36" s="73"/>
    </row>
    <row r="37" spans="1:11" x14ac:dyDescent="0.4">
      <c r="A37" s="42">
        <f t="shared" si="2"/>
        <v>2015</v>
      </c>
      <c r="B37" s="73">
        <f t="shared" si="3"/>
        <v>1.605</v>
      </c>
      <c r="C37" s="73">
        <f t="shared" si="3"/>
        <v>1.3140000000000001</v>
      </c>
      <c r="D37" s="73">
        <f t="shared" si="3"/>
        <v>1.107</v>
      </c>
      <c r="E37" s="73">
        <f t="shared" si="3"/>
        <v>1.032</v>
      </c>
      <c r="F37" s="73">
        <f t="shared" si="3"/>
        <v>1.0229999999999999</v>
      </c>
      <c r="G37" s="73"/>
      <c r="H37" s="73"/>
      <c r="I37" s="73"/>
      <c r="J37" s="73"/>
      <c r="K37" s="73"/>
    </row>
    <row r="38" spans="1:11" x14ac:dyDescent="0.4">
      <c r="A38" s="42">
        <f t="shared" si="2"/>
        <v>2016</v>
      </c>
      <c r="B38" s="73">
        <f t="shared" si="3"/>
        <v>1.526</v>
      </c>
      <c r="C38" s="73">
        <f t="shared" si="3"/>
        <v>1.2769999999999999</v>
      </c>
      <c r="D38" s="73">
        <f t="shared" si="3"/>
        <v>1.099</v>
      </c>
      <c r="E38" s="73">
        <f t="shared" si="3"/>
        <v>1.0620000000000001</v>
      </c>
      <c r="F38" s="73"/>
      <c r="G38" s="73"/>
      <c r="H38" s="73"/>
      <c r="I38" s="73"/>
      <c r="J38" s="73"/>
      <c r="K38" s="73"/>
    </row>
    <row r="39" spans="1:11" x14ac:dyDescent="0.4">
      <c r="A39" s="42">
        <f t="shared" si="2"/>
        <v>2017</v>
      </c>
      <c r="B39" s="73">
        <f t="shared" si="3"/>
        <v>1.4610000000000001</v>
      </c>
      <c r="C39" s="73">
        <f t="shared" si="3"/>
        <v>1.284</v>
      </c>
      <c r="D39" s="73">
        <f t="shared" si="3"/>
        <v>1.137</v>
      </c>
      <c r="E39" s="73"/>
      <c r="F39" s="73"/>
      <c r="G39" s="73"/>
      <c r="H39" s="73"/>
      <c r="I39" s="73"/>
      <c r="J39" s="73"/>
      <c r="K39" s="73"/>
    </row>
    <row r="40" spans="1:11" x14ac:dyDescent="0.4">
      <c r="A40" s="42">
        <f t="shared" si="2"/>
        <v>2018</v>
      </c>
      <c r="B40" s="73">
        <f t="shared" si="3"/>
        <v>1.6040000000000001</v>
      </c>
      <c r="C40" s="73">
        <f t="shared" si="3"/>
        <v>1.274</v>
      </c>
      <c r="D40" s="73"/>
      <c r="E40" s="73"/>
      <c r="F40" s="73"/>
      <c r="G40" s="73"/>
      <c r="H40" s="73"/>
      <c r="I40" s="73"/>
      <c r="J40" s="73"/>
      <c r="K40" s="73"/>
    </row>
    <row r="41" spans="1:11" x14ac:dyDescent="0.4">
      <c r="A41" s="42">
        <f t="shared" si="2"/>
        <v>2019</v>
      </c>
      <c r="B41" s="73">
        <f t="shared" si="3"/>
        <v>1.54</v>
      </c>
      <c r="C41" s="73"/>
      <c r="D41" s="73"/>
      <c r="E41" s="73"/>
      <c r="F41" s="73"/>
      <c r="G41" s="73"/>
      <c r="H41" s="73"/>
      <c r="I41" s="73"/>
      <c r="J41" s="73"/>
      <c r="K41" s="73"/>
    </row>
    <row r="42" spans="1:11" x14ac:dyDescent="0.4">
      <c r="A42" s="42"/>
      <c r="B42" s="73"/>
      <c r="C42" s="73"/>
      <c r="D42" s="73"/>
      <c r="E42" s="73"/>
      <c r="F42" s="73"/>
      <c r="G42" s="73"/>
      <c r="H42" s="73"/>
      <c r="I42" s="73"/>
      <c r="J42" s="73"/>
      <c r="K42" s="73"/>
    </row>
    <row r="43" spans="1:11" x14ac:dyDescent="0.4">
      <c r="A43" s="42" t="s">
        <v>522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x14ac:dyDescent="0.4">
      <c r="A44" s="62" t="s">
        <v>523</v>
      </c>
      <c r="B44" s="73">
        <f>ROUND((SUM(B37:B41)-MAX(B37:B41)-MIN(B37:B41))/3,3)</f>
        <v>1.5569999999999999</v>
      </c>
      <c r="C44" s="73">
        <f>ROUND((SUM(C36:C40)-MAX(C36:C40)-MIN(C36:C40))/3,3)</f>
        <v>1.2909999999999999</v>
      </c>
      <c r="D44" s="73">
        <f>ROUND((SUM(D35:D39)-MAX(D35:D39)-MIN(D35:D39))/3,3)</f>
        <v>1.111</v>
      </c>
      <c r="E44" s="73">
        <f>ROUND((SUM(E34:E38)-MAX(E34:E38)-MIN(E34:E38))/3,3)</f>
        <v>1.0329999999999999</v>
      </c>
      <c r="F44" s="73">
        <f>ROUND((SUM(F33:F37)-MAX(F33:F37)-MIN(F33:F37))/3,3)</f>
        <v>1.012</v>
      </c>
      <c r="G44" s="73">
        <f>ROUND((SUM(G32:G36)-MAX(G32:G36)-MIN(G32:G36))/3,3)</f>
        <v>1.006</v>
      </c>
      <c r="H44" s="73">
        <f>ROUND((SUM(H31:H35)-MAX(H31:H35)-MIN(H31:H35))/3,3)</f>
        <v>1.0029999999999999</v>
      </c>
      <c r="I44" s="73">
        <f>ROUND((SUM(I30:I34)-MAX(I30:I34)-MIN(I30:I34))/3,3)</f>
        <v>1.002</v>
      </c>
      <c r="J44" s="73">
        <f>ROUND((SUM(J29:J33)-MAX(J29:J33)-MIN(J29:J33))/3,3)</f>
        <v>1</v>
      </c>
      <c r="K44" s="73"/>
    </row>
    <row r="45" spans="1:11" ht="10.9" customHeight="1" x14ac:dyDescent="0.4">
      <c r="A45" s="62"/>
      <c r="B45" s="73"/>
      <c r="C45" s="73"/>
      <c r="D45" s="73"/>
      <c r="E45" s="73"/>
      <c r="F45" s="73"/>
      <c r="G45" s="73"/>
      <c r="H45" s="73"/>
      <c r="I45" s="73"/>
      <c r="J45" s="73"/>
      <c r="K45" s="73"/>
    </row>
    <row r="46" spans="1:11" x14ac:dyDescent="0.4">
      <c r="B46" s="194" t="s">
        <v>524</v>
      </c>
      <c r="C46" s="194" t="s">
        <v>525</v>
      </c>
      <c r="D46" s="194" t="s">
        <v>526</v>
      </c>
      <c r="E46" s="194" t="s">
        <v>527</v>
      </c>
      <c r="F46" s="194" t="s">
        <v>528</v>
      </c>
      <c r="G46" s="194" t="s">
        <v>529</v>
      </c>
      <c r="H46" s="194" t="s">
        <v>530</v>
      </c>
      <c r="I46" s="194" t="s">
        <v>531</v>
      </c>
      <c r="J46" s="194" t="s">
        <v>532</v>
      </c>
      <c r="K46" s="194"/>
    </row>
    <row r="47" spans="1:11" x14ac:dyDescent="0.4">
      <c r="A47" s="2" t="s">
        <v>533</v>
      </c>
      <c r="B47" s="73">
        <f t="shared" ref="B47:I47" si="4">ROUND(C47*B44,3)</f>
        <v>2.36</v>
      </c>
      <c r="C47" s="73">
        <f t="shared" si="4"/>
        <v>1.516</v>
      </c>
      <c r="D47" s="73">
        <f t="shared" si="4"/>
        <v>1.1739999999999999</v>
      </c>
      <c r="E47" s="73">
        <f t="shared" si="4"/>
        <v>1.0569999999999999</v>
      </c>
      <c r="F47" s="73">
        <f t="shared" si="4"/>
        <v>1.0229999999999999</v>
      </c>
      <c r="G47" s="73">
        <f t="shared" si="4"/>
        <v>1.0109999999999999</v>
      </c>
      <c r="H47" s="73">
        <f t="shared" si="4"/>
        <v>1.0049999999999999</v>
      </c>
      <c r="I47" s="73">
        <f t="shared" si="4"/>
        <v>1.002</v>
      </c>
      <c r="J47" s="73">
        <f>J44</f>
        <v>1</v>
      </c>
      <c r="K47" s="73"/>
    </row>
    <row r="49" spans="2:6" x14ac:dyDescent="0.4">
      <c r="B49" s="195"/>
      <c r="C49" s="195"/>
      <c r="D49" s="195"/>
      <c r="E49" s="195"/>
      <c r="F49" s="195"/>
    </row>
  </sheetData>
  <mergeCells count="7">
    <mergeCell ref="A25:L25"/>
    <mergeCell ref="A1:L1"/>
    <mergeCell ref="A2:L2"/>
    <mergeCell ref="A3:L3"/>
    <mergeCell ref="A4:L4"/>
    <mergeCell ref="A5:L5"/>
    <mergeCell ref="A6:L6"/>
  </mergeCells>
  <printOptions horizontalCentered="1"/>
  <pageMargins left="0.25" right="0.25" top="0.75" bottom="0.75" header="0.3" footer="0.3"/>
  <pageSetup scale="84" firstPageNumber="0" orientation="landscape" useFirstPageNumber="1" r:id="rId1"/>
  <headerFooter>
    <oddHeader>&amp;L&amp;"Times New Roman"&amp;9INSURANCE SERVICES OFFICE, INC.</oddHeader>
    <oddFooter>&amp;C&amp;"Times New Roman"&amp;9© Insurance Services Office, Inc., 2022        		OREGON        BP-2021-RLA1&amp;R&amp;"Times New Roman"&amp;9&amp;A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655276-09B5-419E-8641-72685061E61B}">
  <sheetPr>
    <pageSetUpPr fitToPage="1"/>
  </sheetPr>
  <dimension ref="A1:L49"/>
  <sheetViews>
    <sheetView workbookViewId="0">
      <selection sqref="A1:L1"/>
    </sheetView>
  </sheetViews>
  <sheetFormatPr defaultColWidth="9" defaultRowHeight="13.15" x14ac:dyDescent="0.4"/>
  <cols>
    <col min="1" max="1" width="9" style="2"/>
    <col min="2" max="9" width="12.265625" style="2" bestFit="1" customWidth="1"/>
    <col min="10" max="12" width="12.3984375" style="2" bestFit="1" customWidth="1"/>
    <col min="13" max="13" width="11.73046875" style="2" bestFit="1" customWidth="1"/>
    <col min="14" max="16384" width="9" style="2"/>
  </cols>
  <sheetData>
    <row r="1" spans="1:12" x14ac:dyDescent="0.4">
      <c r="A1" s="241"/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</row>
    <row r="2" spans="1:12" x14ac:dyDescent="0.4">
      <c r="A2" s="241" t="s">
        <v>153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</row>
    <row r="3" spans="1:12" x14ac:dyDescent="0.4">
      <c r="A3" s="241" t="s">
        <v>534</v>
      </c>
      <c r="B3" s="241"/>
      <c r="C3" s="241"/>
      <c r="D3" s="241"/>
      <c r="E3" s="241"/>
      <c r="F3" s="241"/>
      <c r="G3" s="241"/>
      <c r="H3" s="241"/>
      <c r="I3" s="241"/>
      <c r="J3" s="241"/>
      <c r="K3" s="241"/>
      <c r="L3" s="241"/>
    </row>
    <row r="4" spans="1:12" x14ac:dyDescent="0.4">
      <c r="A4" s="241" t="s">
        <v>505</v>
      </c>
      <c r="B4" s="241"/>
      <c r="C4" s="241"/>
      <c r="D4" s="241"/>
      <c r="E4" s="241"/>
      <c r="F4" s="241"/>
      <c r="G4" s="241"/>
      <c r="H4" s="241"/>
      <c r="I4" s="241"/>
      <c r="J4" s="241"/>
      <c r="K4" s="241"/>
      <c r="L4" s="241"/>
    </row>
    <row r="5" spans="1:12" x14ac:dyDescent="0.4">
      <c r="A5" s="241" t="s">
        <v>481</v>
      </c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</row>
    <row r="6" spans="1:12" x14ac:dyDescent="0.4">
      <c r="A6" s="243" t="s">
        <v>486</v>
      </c>
      <c r="B6" s="243"/>
      <c r="C6" s="243"/>
      <c r="D6" s="243"/>
      <c r="E6" s="243"/>
      <c r="F6" s="243"/>
      <c r="G6" s="243"/>
      <c r="H6" s="243"/>
      <c r="I6" s="243"/>
      <c r="J6" s="243"/>
      <c r="K6" s="243"/>
      <c r="L6" s="243"/>
    </row>
    <row r="8" spans="1:12" x14ac:dyDescent="0.4">
      <c r="A8" s="52" t="s">
        <v>451</v>
      </c>
      <c r="B8" s="52" t="s">
        <v>488</v>
      </c>
      <c r="C8" s="52" t="s">
        <v>489</v>
      </c>
      <c r="D8" s="52" t="s">
        <v>490</v>
      </c>
      <c r="E8" s="52" t="s">
        <v>507</v>
      </c>
      <c r="F8" s="52" t="s">
        <v>508</v>
      </c>
      <c r="G8" s="52" t="s">
        <v>509</v>
      </c>
      <c r="H8" s="52" t="s">
        <v>510</v>
      </c>
      <c r="I8" s="52" t="s">
        <v>511</v>
      </c>
      <c r="J8" s="52" t="s">
        <v>512</v>
      </c>
      <c r="K8" s="52" t="s">
        <v>513</v>
      </c>
      <c r="L8" s="52"/>
    </row>
    <row r="9" spans="1:12" x14ac:dyDescent="0.4">
      <c r="A9" s="42">
        <f t="shared" ref="A9:A21" si="0">A10-1</f>
        <v>2006</v>
      </c>
      <c r="B9" s="190">
        <v>9825211</v>
      </c>
      <c r="C9" s="190">
        <v>12112047</v>
      </c>
      <c r="D9" s="190">
        <v>14510360</v>
      </c>
      <c r="E9" s="190">
        <v>15142943</v>
      </c>
      <c r="F9" s="190">
        <v>15204537</v>
      </c>
      <c r="G9" s="190">
        <v>15261037</v>
      </c>
      <c r="H9" s="190">
        <v>15314336</v>
      </c>
      <c r="I9" s="190">
        <v>15317803</v>
      </c>
      <c r="J9" s="190">
        <v>15333983</v>
      </c>
      <c r="K9" s="190">
        <v>15478899</v>
      </c>
      <c r="L9" s="191"/>
    </row>
    <row r="10" spans="1:12" x14ac:dyDescent="0.4">
      <c r="A10" s="42">
        <f t="shared" si="0"/>
        <v>2007</v>
      </c>
      <c r="B10" s="190">
        <v>12208163</v>
      </c>
      <c r="C10" s="190">
        <v>15787970</v>
      </c>
      <c r="D10" s="190">
        <v>18131628</v>
      </c>
      <c r="E10" s="190">
        <v>19034084</v>
      </c>
      <c r="F10" s="190">
        <v>19033260</v>
      </c>
      <c r="G10" s="190">
        <v>19032626</v>
      </c>
      <c r="H10" s="190">
        <v>18847957</v>
      </c>
      <c r="I10" s="190">
        <v>18930128</v>
      </c>
      <c r="J10" s="190">
        <v>18895879</v>
      </c>
      <c r="K10" s="190">
        <v>18907156</v>
      </c>
      <c r="L10" s="191"/>
    </row>
    <row r="11" spans="1:12" x14ac:dyDescent="0.4">
      <c r="A11" s="42">
        <f t="shared" si="0"/>
        <v>2008</v>
      </c>
      <c r="B11" s="190">
        <v>17388392</v>
      </c>
      <c r="C11" s="190">
        <v>20199168</v>
      </c>
      <c r="D11" s="190">
        <v>21684846</v>
      </c>
      <c r="E11" s="190">
        <v>23118897</v>
      </c>
      <c r="F11" s="190">
        <v>23960971</v>
      </c>
      <c r="G11" s="190">
        <v>24155678</v>
      </c>
      <c r="H11" s="190">
        <v>24107288</v>
      </c>
      <c r="I11" s="190">
        <v>24183355</v>
      </c>
      <c r="J11" s="190">
        <v>24207016</v>
      </c>
      <c r="K11" s="190">
        <v>24256084</v>
      </c>
      <c r="L11" s="191"/>
    </row>
    <row r="12" spans="1:12" x14ac:dyDescent="0.4">
      <c r="A12" s="42">
        <f t="shared" si="0"/>
        <v>2009</v>
      </c>
      <c r="B12" s="190">
        <v>19299158</v>
      </c>
      <c r="C12" s="190">
        <v>22792205</v>
      </c>
      <c r="D12" s="190">
        <v>26823870</v>
      </c>
      <c r="E12" s="190">
        <v>28817741</v>
      </c>
      <c r="F12" s="190">
        <v>28967666</v>
      </c>
      <c r="G12" s="190">
        <v>29107425</v>
      </c>
      <c r="H12" s="190">
        <v>29016159</v>
      </c>
      <c r="I12" s="190">
        <v>28974948</v>
      </c>
      <c r="J12" s="190">
        <v>28975272</v>
      </c>
      <c r="K12" s="190">
        <v>29007242</v>
      </c>
      <c r="L12" s="191"/>
    </row>
    <row r="13" spans="1:12" x14ac:dyDescent="0.4">
      <c r="A13" s="42">
        <f t="shared" si="0"/>
        <v>2010</v>
      </c>
      <c r="B13" s="190">
        <v>21260562</v>
      </c>
      <c r="C13" s="190">
        <v>24693815</v>
      </c>
      <c r="D13" s="190">
        <v>27098887</v>
      </c>
      <c r="E13" s="190">
        <v>27732178</v>
      </c>
      <c r="F13" s="190">
        <v>28338335</v>
      </c>
      <c r="G13" s="190">
        <v>28507692</v>
      </c>
      <c r="H13" s="190">
        <v>28956486</v>
      </c>
      <c r="I13" s="190">
        <v>28568031</v>
      </c>
      <c r="J13" s="190">
        <v>28705873</v>
      </c>
      <c r="K13" s="190">
        <v>28620972</v>
      </c>
      <c r="L13" s="191"/>
    </row>
    <row r="14" spans="1:12" x14ac:dyDescent="0.4">
      <c r="A14" s="42">
        <f t="shared" si="0"/>
        <v>2011</v>
      </c>
      <c r="B14" s="190">
        <v>18408319</v>
      </c>
      <c r="C14" s="190">
        <v>22202974</v>
      </c>
      <c r="D14" s="190">
        <v>25012094</v>
      </c>
      <c r="E14" s="190">
        <v>26464426</v>
      </c>
      <c r="F14" s="190">
        <v>26219728</v>
      </c>
      <c r="G14" s="190">
        <v>26033924</v>
      </c>
      <c r="H14" s="190">
        <v>25740428</v>
      </c>
      <c r="I14" s="190">
        <v>25684882</v>
      </c>
      <c r="J14" s="190">
        <v>25788800</v>
      </c>
      <c r="K14" s="190">
        <v>25742233</v>
      </c>
      <c r="L14" s="191"/>
    </row>
    <row r="15" spans="1:12" x14ac:dyDescent="0.4">
      <c r="A15" s="42">
        <f t="shared" si="0"/>
        <v>2012</v>
      </c>
      <c r="B15" s="190">
        <v>22781000</v>
      </c>
      <c r="C15" s="190">
        <v>27438764</v>
      </c>
      <c r="D15" s="190">
        <v>32905182</v>
      </c>
      <c r="E15" s="190">
        <v>36397604</v>
      </c>
      <c r="F15" s="190">
        <v>37046240</v>
      </c>
      <c r="G15" s="190">
        <v>36306016</v>
      </c>
      <c r="H15" s="190">
        <v>36026495</v>
      </c>
      <c r="I15" s="190">
        <v>36247445</v>
      </c>
      <c r="J15" s="190">
        <v>35626400</v>
      </c>
      <c r="K15" s="190" t="s">
        <v>619</v>
      </c>
      <c r="L15" s="191"/>
    </row>
    <row r="16" spans="1:12" x14ac:dyDescent="0.4">
      <c r="A16" s="42">
        <f t="shared" si="0"/>
        <v>2013</v>
      </c>
      <c r="B16" s="190">
        <v>27937480</v>
      </c>
      <c r="C16" s="190">
        <v>37726118</v>
      </c>
      <c r="D16" s="190">
        <v>42709702</v>
      </c>
      <c r="E16" s="190">
        <v>45254163</v>
      </c>
      <c r="F16" s="190">
        <v>46980802</v>
      </c>
      <c r="G16" s="190">
        <v>46359840</v>
      </c>
      <c r="H16" s="190">
        <v>45970073</v>
      </c>
      <c r="I16" s="190">
        <v>45890830</v>
      </c>
      <c r="J16" s="190" t="s">
        <v>619</v>
      </c>
      <c r="K16" s="190" t="s">
        <v>619</v>
      </c>
      <c r="L16" s="191"/>
    </row>
    <row r="17" spans="1:12" x14ac:dyDescent="0.4">
      <c r="A17" s="42">
        <f t="shared" si="0"/>
        <v>2014</v>
      </c>
      <c r="B17" s="190">
        <v>43251127</v>
      </c>
      <c r="C17" s="190">
        <v>58921610</v>
      </c>
      <c r="D17" s="190">
        <v>70429519</v>
      </c>
      <c r="E17" s="190">
        <v>77578405</v>
      </c>
      <c r="F17" s="190">
        <v>77837915</v>
      </c>
      <c r="G17" s="190">
        <v>78342716</v>
      </c>
      <c r="H17" s="190">
        <v>79199113</v>
      </c>
      <c r="I17" s="190" t="s">
        <v>619</v>
      </c>
      <c r="J17" s="190" t="s">
        <v>619</v>
      </c>
      <c r="K17" s="190" t="s">
        <v>619</v>
      </c>
      <c r="L17" s="191"/>
    </row>
    <row r="18" spans="1:12" x14ac:dyDescent="0.4">
      <c r="A18" s="42">
        <f t="shared" si="0"/>
        <v>2015</v>
      </c>
      <c r="B18" s="190">
        <v>61210970</v>
      </c>
      <c r="C18" s="190">
        <v>81200424</v>
      </c>
      <c r="D18" s="190">
        <v>96825065</v>
      </c>
      <c r="E18" s="190">
        <v>104186494</v>
      </c>
      <c r="F18" s="190">
        <v>107254195</v>
      </c>
      <c r="G18" s="190">
        <v>109149247</v>
      </c>
      <c r="H18" s="190" t="s">
        <v>619</v>
      </c>
      <c r="I18" s="190" t="s">
        <v>619</v>
      </c>
      <c r="J18" s="190" t="s">
        <v>619</v>
      </c>
      <c r="K18" s="190" t="s">
        <v>619</v>
      </c>
      <c r="L18" s="191"/>
    </row>
    <row r="19" spans="1:12" x14ac:dyDescent="0.4">
      <c r="A19" s="42">
        <f t="shared" si="0"/>
        <v>2016</v>
      </c>
      <c r="B19" s="190">
        <v>68630544</v>
      </c>
      <c r="C19" s="190">
        <v>91002332</v>
      </c>
      <c r="D19" s="190">
        <v>109922526</v>
      </c>
      <c r="E19" s="190">
        <v>116311906</v>
      </c>
      <c r="F19" s="190">
        <v>117685082</v>
      </c>
      <c r="G19" s="190" t="s">
        <v>619</v>
      </c>
      <c r="H19" s="190" t="s">
        <v>619</v>
      </c>
      <c r="I19" s="190" t="s">
        <v>619</v>
      </c>
      <c r="J19" s="190" t="s">
        <v>619</v>
      </c>
      <c r="K19" s="190" t="s">
        <v>619</v>
      </c>
      <c r="L19" s="191"/>
    </row>
    <row r="20" spans="1:12" x14ac:dyDescent="0.4">
      <c r="A20" s="42">
        <f t="shared" si="0"/>
        <v>2017</v>
      </c>
      <c r="B20" s="190">
        <v>73065025</v>
      </c>
      <c r="C20" s="190">
        <v>91216743</v>
      </c>
      <c r="D20" s="190">
        <v>113506789</v>
      </c>
      <c r="E20" s="190">
        <v>124088940</v>
      </c>
      <c r="F20" s="190" t="s">
        <v>619</v>
      </c>
      <c r="G20" s="190" t="s">
        <v>619</v>
      </c>
      <c r="H20" s="190" t="s">
        <v>619</v>
      </c>
      <c r="I20" s="190" t="s">
        <v>619</v>
      </c>
      <c r="J20" s="190" t="s">
        <v>619</v>
      </c>
      <c r="K20" s="190" t="s">
        <v>619</v>
      </c>
      <c r="L20" s="191"/>
    </row>
    <row r="21" spans="1:12" x14ac:dyDescent="0.4">
      <c r="A21" s="42">
        <f t="shared" si="0"/>
        <v>2018</v>
      </c>
      <c r="B21" s="190">
        <v>71656653</v>
      </c>
      <c r="C21" s="190">
        <v>95593632</v>
      </c>
      <c r="D21" s="190">
        <v>113035021</v>
      </c>
      <c r="E21" s="190" t="s">
        <v>619</v>
      </c>
      <c r="F21" s="190" t="s">
        <v>619</v>
      </c>
      <c r="G21" s="190" t="s">
        <v>619</v>
      </c>
      <c r="H21" s="190" t="s">
        <v>619</v>
      </c>
      <c r="I21" s="190" t="s">
        <v>619</v>
      </c>
      <c r="J21" s="190" t="s">
        <v>619</v>
      </c>
      <c r="K21" s="190" t="s">
        <v>619</v>
      </c>
      <c r="L21" s="196"/>
    </row>
    <row r="22" spans="1:12" x14ac:dyDescent="0.4">
      <c r="A22" s="42">
        <f>A23-1</f>
        <v>2019</v>
      </c>
      <c r="B22" s="190">
        <v>67070400</v>
      </c>
      <c r="C22" s="190">
        <v>94855714</v>
      </c>
      <c r="D22" s="190" t="s">
        <v>619</v>
      </c>
      <c r="E22" s="190" t="s">
        <v>619</v>
      </c>
      <c r="F22" s="190" t="s">
        <v>619</v>
      </c>
      <c r="G22" s="190" t="s">
        <v>619</v>
      </c>
      <c r="H22" s="190" t="s">
        <v>619</v>
      </c>
      <c r="I22" s="190" t="s">
        <v>619</v>
      </c>
      <c r="J22" s="190" t="s">
        <v>619</v>
      </c>
      <c r="K22" s="190" t="s">
        <v>619</v>
      </c>
      <c r="L22" s="196"/>
    </row>
    <row r="23" spans="1:12" x14ac:dyDescent="0.4">
      <c r="A23" s="42">
        <f>YEAR(DZ_INPUTS!B3)</f>
        <v>2020</v>
      </c>
      <c r="B23" s="190">
        <v>60591139</v>
      </c>
      <c r="C23" s="190" t="s">
        <v>619</v>
      </c>
      <c r="D23" s="190" t="s">
        <v>619</v>
      </c>
      <c r="E23" s="190" t="s">
        <v>619</v>
      </c>
      <c r="F23" s="190" t="s">
        <v>619</v>
      </c>
      <c r="G23" s="190" t="s">
        <v>619</v>
      </c>
      <c r="H23" s="190" t="s">
        <v>619</v>
      </c>
      <c r="I23" s="190" t="s">
        <v>619</v>
      </c>
      <c r="J23" s="190" t="s">
        <v>619</v>
      </c>
      <c r="K23" s="190" t="s">
        <v>619</v>
      </c>
      <c r="L23" s="196"/>
    </row>
    <row r="24" spans="1:12" ht="7.15" customHeight="1" x14ac:dyDescent="0.4"/>
    <row r="25" spans="1:12" x14ac:dyDescent="0.4">
      <c r="A25" s="243" t="s">
        <v>514</v>
      </c>
      <c r="B25" s="243"/>
      <c r="C25" s="243"/>
      <c r="D25" s="243"/>
      <c r="E25" s="243"/>
      <c r="F25" s="243"/>
      <c r="G25" s="243"/>
      <c r="H25" s="243"/>
      <c r="I25" s="243"/>
      <c r="J25" s="243"/>
      <c r="K25" s="243"/>
      <c r="L25" s="243"/>
    </row>
    <row r="26" spans="1:12" ht="7.15" customHeight="1" x14ac:dyDescent="0.4"/>
    <row r="27" spans="1:12" x14ac:dyDescent="0.4">
      <c r="A27" s="52" t="s">
        <v>451</v>
      </c>
      <c r="B27" s="189" t="s">
        <v>491</v>
      </c>
      <c r="C27" s="189" t="s">
        <v>492</v>
      </c>
      <c r="D27" s="189" t="s">
        <v>515</v>
      </c>
      <c r="E27" s="189" t="s">
        <v>516</v>
      </c>
      <c r="F27" s="189" t="s">
        <v>517</v>
      </c>
      <c r="G27" s="189" t="s">
        <v>518</v>
      </c>
      <c r="H27" s="189" t="s">
        <v>519</v>
      </c>
      <c r="I27" s="189" t="s">
        <v>520</v>
      </c>
      <c r="J27" s="189" t="s">
        <v>521</v>
      </c>
      <c r="K27" s="189"/>
    </row>
    <row r="28" spans="1:12" x14ac:dyDescent="0.4">
      <c r="A28" s="42">
        <f>A9</f>
        <v>2006</v>
      </c>
      <c r="B28" s="73">
        <f>ROUND(C9/B9,3)</f>
        <v>1.2330000000000001</v>
      </c>
      <c r="C28" s="73">
        <f t="shared" ref="C28:J28" si="1">ROUND(D9/C9,3)</f>
        <v>1.198</v>
      </c>
      <c r="D28" s="73">
        <f t="shared" si="1"/>
        <v>1.044</v>
      </c>
      <c r="E28" s="73">
        <f t="shared" si="1"/>
        <v>1.004</v>
      </c>
      <c r="F28" s="73">
        <f t="shared" si="1"/>
        <v>1.004</v>
      </c>
      <c r="G28" s="73">
        <f t="shared" si="1"/>
        <v>1.0029999999999999</v>
      </c>
      <c r="H28" s="73">
        <f t="shared" si="1"/>
        <v>1</v>
      </c>
      <c r="I28" s="73">
        <f t="shared" si="1"/>
        <v>1.0009999999999999</v>
      </c>
      <c r="J28" s="73">
        <f t="shared" si="1"/>
        <v>1.0089999999999999</v>
      </c>
      <c r="K28" s="73"/>
    </row>
    <row r="29" spans="1:12" x14ac:dyDescent="0.4">
      <c r="A29" s="42">
        <f t="shared" ref="A29:A41" si="2">A10</f>
        <v>2007</v>
      </c>
      <c r="B29" s="73">
        <f t="shared" ref="B29:J41" si="3">ROUND(C10/B10,3)</f>
        <v>1.2929999999999999</v>
      </c>
      <c r="C29" s="73">
        <f t="shared" si="3"/>
        <v>1.1479999999999999</v>
      </c>
      <c r="D29" s="73">
        <f t="shared" si="3"/>
        <v>1.05</v>
      </c>
      <c r="E29" s="73">
        <f t="shared" si="3"/>
        <v>1</v>
      </c>
      <c r="F29" s="73">
        <f t="shared" si="3"/>
        <v>1</v>
      </c>
      <c r="G29" s="73">
        <f t="shared" si="3"/>
        <v>0.99</v>
      </c>
      <c r="H29" s="73">
        <f t="shared" si="3"/>
        <v>1.004</v>
      </c>
      <c r="I29" s="73">
        <f t="shared" si="3"/>
        <v>0.998</v>
      </c>
      <c r="J29" s="73">
        <f t="shared" si="3"/>
        <v>1.0009999999999999</v>
      </c>
      <c r="K29" s="73"/>
    </row>
    <row r="30" spans="1:12" x14ac:dyDescent="0.4">
      <c r="A30" s="42">
        <f t="shared" si="2"/>
        <v>2008</v>
      </c>
      <c r="B30" s="73">
        <f t="shared" si="3"/>
        <v>1.1619999999999999</v>
      </c>
      <c r="C30" s="73">
        <f t="shared" si="3"/>
        <v>1.0740000000000001</v>
      </c>
      <c r="D30" s="73">
        <f t="shared" si="3"/>
        <v>1.0660000000000001</v>
      </c>
      <c r="E30" s="73">
        <f t="shared" si="3"/>
        <v>1.036</v>
      </c>
      <c r="F30" s="73">
        <f t="shared" si="3"/>
        <v>1.008</v>
      </c>
      <c r="G30" s="73">
        <f t="shared" si="3"/>
        <v>0.998</v>
      </c>
      <c r="H30" s="73">
        <f t="shared" si="3"/>
        <v>1.0029999999999999</v>
      </c>
      <c r="I30" s="73">
        <f t="shared" si="3"/>
        <v>1.0009999999999999</v>
      </c>
      <c r="J30" s="73">
        <f t="shared" si="3"/>
        <v>1.002</v>
      </c>
      <c r="K30" s="73"/>
    </row>
    <row r="31" spans="1:12" x14ac:dyDescent="0.4">
      <c r="A31" s="42">
        <f t="shared" si="2"/>
        <v>2009</v>
      </c>
      <c r="B31" s="73">
        <f t="shared" si="3"/>
        <v>1.181</v>
      </c>
      <c r="C31" s="73">
        <f t="shared" si="3"/>
        <v>1.177</v>
      </c>
      <c r="D31" s="73">
        <f t="shared" si="3"/>
        <v>1.0740000000000001</v>
      </c>
      <c r="E31" s="73">
        <f t="shared" si="3"/>
        <v>1.0049999999999999</v>
      </c>
      <c r="F31" s="73">
        <f t="shared" si="3"/>
        <v>1.0049999999999999</v>
      </c>
      <c r="G31" s="73">
        <f t="shared" si="3"/>
        <v>0.997</v>
      </c>
      <c r="H31" s="73">
        <f t="shared" si="3"/>
        <v>0.999</v>
      </c>
      <c r="I31" s="73">
        <f t="shared" si="3"/>
        <v>1</v>
      </c>
      <c r="J31" s="73">
        <f t="shared" si="3"/>
        <v>1.0009999999999999</v>
      </c>
      <c r="K31" s="73"/>
    </row>
    <row r="32" spans="1:12" x14ac:dyDescent="0.4">
      <c r="A32" s="42">
        <f t="shared" si="2"/>
        <v>2010</v>
      </c>
      <c r="B32" s="73">
        <f t="shared" si="3"/>
        <v>1.161</v>
      </c>
      <c r="C32" s="73">
        <f t="shared" si="3"/>
        <v>1.097</v>
      </c>
      <c r="D32" s="73">
        <f t="shared" si="3"/>
        <v>1.0229999999999999</v>
      </c>
      <c r="E32" s="73">
        <f t="shared" si="3"/>
        <v>1.022</v>
      </c>
      <c r="F32" s="73">
        <f t="shared" si="3"/>
        <v>1.006</v>
      </c>
      <c r="G32" s="73">
        <f t="shared" si="3"/>
        <v>1.016</v>
      </c>
      <c r="H32" s="73">
        <f t="shared" si="3"/>
        <v>0.98699999999999999</v>
      </c>
      <c r="I32" s="73">
        <f t="shared" si="3"/>
        <v>1.0049999999999999</v>
      </c>
      <c r="J32" s="73">
        <f t="shared" si="3"/>
        <v>0.997</v>
      </c>
      <c r="K32" s="73"/>
    </row>
    <row r="33" spans="1:11" x14ac:dyDescent="0.4">
      <c r="A33" s="42">
        <f t="shared" si="2"/>
        <v>2011</v>
      </c>
      <c r="B33" s="73">
        <f t="shared" si="3"/>
        <v>1.206</v>
      </c>
      <c r="C33" s="73">
        <f t="shared" si="3"/>
        <v>1.127</v>
      </c>
      <c r="D33" s="73">
        <f t="shared" si="3"/>
        <v>1.0580000000000001</v>
      </c>
      <c r="E33" s="73">
        <f t="shared" si="3"/>
        <v>0.99099999999999999</v>
      </c>
      <c r="F33" s="73">
        <f t="shared" si="3"/>
        <v>0.99299999999999999</v>
      </c>
      <c r="G33" s="73">
        <f t="shared" si="3"/>
        <v>0.98899999999999999</v>
      </c>
      <c r="H33" s="73">
        <f t="shared" si="3"/>
        <v>0.998</v>
      </c>
      <c r="I33" s="73">
        <f t="shared" si="3"/>
        <v>1.004</v>
      </c>
      <c r="J33" s="73">
        <f t="shared" si="3"/>
        <v>0.998</v>
      </c>
      <c r="K33" s="73"/>
    </row>
    <row r="34" spans="1:11" x14ac:dyDescent="0.4">
      <c r="A34" s="42">
        <f t="shared" si="2"/>
        <v>2012</v>
      </c>
      <c r="B34" s="73">
        <f t="shared" si="3"/>
        <v>1.204</v>
      </c>
      <c r="C34" s="73">
        <f t="shared" si="3"/>
        <v>1.1990000000000001</v>
      </c>
      <c r="D34" s="73">
        <f t="shared" si="3"/>
        <v>1.1060000000000001</v>
      </c>
      <c r="E34" s="73">
        <f t="shared" si="3"/>
        <v>1.018</v>
      </c>
      <c r="F34" s="73">
        <f t="shared" si="3"/>
        <v>0.98</v>
      </c>
      <c r="G34" s="73">
        <f t="shared" si="3"/>
        <v>0.99199999999999999</v>
      </c>
      <c r="H34" s="73">
        <f t="shared" si="3"/>
        <v>1.006</v>
      </c>
      <c r="I34" s="73">
        <f t="shared" si="3"/>
        <v>0.98299999999999998</v>
      </c>
      <c r="J34" s="73"/>
      <c r="K34" s="73"/>
    </row>
    <row r="35" spans="1:11" x14ac:dyDescent="0.4">
      <c r="A35" s="42">
        <f t="shared" si="2"/>
        <v>2013</v>
      </c>
      <c r="B35" s="73">
        <f t="shared" si="3"/>
        <v>1.35</v>
      </c>
      <c r="C35" s="73">
        <f t="shared" si="3"/>
        <v>1.1319999999999999</v>
      </c>
      <c r="D35" s="73">
        <f t="shared" si="3"/>
        <v>1.06</v>
      </c>
      <c r="E35" s="73">
        <f t="shared" si="3"/>
        <v>1.038</v>
      </c>
      <c r="F35" s="73">
        <f t="shared" si="3"/>
        <v>0.98699999999999999</v>
      </c>
      <c r="G35" s="73">
        <f t="shared" si="3"/>
        <v>0.99199999999999999</v>
      </c>
      <c r="H35" s="73">
        <f t="shared" si="3"/>
        <v>0.998</v>
      </c>
      <c r="I35" s="73"/>
      <c r="J35" s="73"/>
      <c r="K35" s="73"/>
    </row>
    <row r="36" spans="1:11" x14ac:dyDescent="0.4">
      <c r="A36" s="42">
        <f t="shared" si="2"/>
        <v>2014</v>
      </c>
      <c r="B36" s="73">
        <f t="shared" si="3"/>
        <v>1.3620000000000001</v>
      </c>
      <c r="C36" s="73">
        <f t="shared" si="3"/>
        <v>1.1950000000000001</v>
      </c>
      <c r="D36" s="73">
        <f t="shared" si="3"/>
        <v>1.1020000000000001</v>
      </c>
      <c r="E36" s="73">
        <f t="shared" si="3"/>
        <v>1.0029999999999999</v>
      </c>
      <c r="F36" s="73">
        <f t="shared" si="3"/>
        <v>1.006</v>
      </c>
      <c r="G36" s="73">
        <f t="shared" si="3"/>
        <v>1.0109999999999999</v>
      </c>
      <c r="H36" s="73"/>
      <c r="I36" s="73"/>
      <c r="J36" s="73"/>
      <c r="K36" s="73"/>
    </row>
    <row r="37" spans="1:11" x14ac:dyDescent="0.4">
      <c r="A37" s="42">
        <f t="shared" si="2"/>
        <v>2015</v>
      </c>
      <c r="B37" s="73">
        <f t="shared" si="3"/>
        <v>1.327</v>
      </c>
      <c r="C37" s="73">
        <f t="shared" si="3"/>
        <v>1.1919999999999999</v>
      </c>
      <c r="D37" s="73">
        <f t="shared" si="3"/>
        <v>1.0760000000000001</v>
      </c>
      <c r="E37" s="73">
        <f t="shared" si="3"/>
        <v>1.0289999999999999</v>
      </c>
      <c r="F37" s="73">
        <f t="shared" si="3"/>
        <v>1.018</v>
      </c>
      <c r="G37" s="73"/>
      <c r="H37" s="73"/>
      <c r="I37" s="73"/>
      <c r="J37" s="73"/>
      <c r="K37" s="73"/>
    </row>
    <row r="38" spans="1:11" x14ac:dyDescent="0.4">
      <c r="A38" s="42">
        <f t="shared" si="2"/>
        <v>2016</v>
      </c>
      <c r="B38" s="73">
        <f t="shared" si="3"/>
        <v>1.3260000000000001</v>
      </c>
      <c r="C38" s="73">
        <f t="shared" si="3"/>
        <v>1.208</v>
      </c>
      <c r="D38" s="73">
        <f t="shared" si="3"/>
        <v>1.0580000000000001</v>
      </c>
      <c r="E38" s="73">
        <f t="shared" si="3"/>
        <v>1.012</v>
      </c>
      <c r="F38" s="73"/>
      <c r="G38" s="73"/>
      <c r="H38" s="73"/>
      <c r="I38" s="73"/>
      <c r="J38" s="73"/>
      <c r="K38" s="73"/>
    </row>
    <row r="39" spans="1:11" x14ac:dyDescent="0.4">
      <c r="A39" s="42">
        <f t="shared" si="2"/>
        <v>2017</v>
      </c>
      <c r="B39" s="73">
        <f t="shared" si="3"/>
        <v>1.248</v>
      </c>
      <c r="C39" s="73">
        <f t="shared" si="3"/>
        <v>1.244</v>
      </c>
      <c r="D39" s="73">
        <f t="shared" si="3"/>
        <v>1.093</v>
      </c>
      <c r="E39" s="73"/>
      <c r="F39" s="73"/>
      <c r="G39" s="73"/>
      <c r="H39" s="73"/>
      <c r="I39" s="73"/>
      <c r="J39" s="73"/>
      <c r="K39" s="73"/>
    </row>
    <row r="40" spans="1:11" x14ac:dyDescent="0.4">
      <c r="A40" s="42">
        <f t="shared" si="2"/>
        <v>2018</v>
      </c>
      <c r="B40" s="73">
        <f t="shared" si="3"/>
        <v>1.3340000000000001</v>
      </c>
      <c r="C40" s="73">
        <f t="shared" si="3"/>
        <v>1.1819999999999999</v>
      </c>
      <c r="D40" s="73"/>
      <c r="E40" s="73"/>
      <c r="F40" s="73"/>
      <c r="G40" s="73"/>
      <c r="H40" s="73"/>
      <c r="I40" s="73"/>
      <c r="J40" s="73"/>
      <c r="K40" s="73"/>
    </row>
    <row r="41" spans="1:11" x14ac:dyDescent="0.4">
      <c r="A41" s="42">
        <f t="shared" si="2"/>
        <v>2019</v>
      </c>
      <c r="B41" s="73">
        <f t="shared" si="3"/>
        <v>1.4139999999999999</v>
      </c>
      <c r="C41" s="73"/>
      <c r="D41" s="73"/>
      <c r="E41" s="73"/>
      <c r="F41" s="73"/>
      <c r="G41" s="73"/>
      <c r="H41" s="73"/>
      <c r="I41" s="73"/>
      <c r="J41" s="73"/>
      <c r="K41" s="73"/>
    </row>
    <row r="42" spans="1:11" x14ac:dyDescent="0.4">
      <c r="A42" s="42"/>
      <c r="B42" s="73"/>
      <c r="C42" s="73"/>
      <c r="D42" s="73"/>
      <c r="E42" s="73"/>
      <c r="F42" s="73"/>
      <c r="G42" s="73"/>
      <c r="H42" s="73"/>
      <c r="I42" s="73"/>
      <c r="J42" s="73"/>
      <c r="K42" s="73"/>
    </row>
    <row r="43" spans="1:11" x14ac:dyDescent="0.4">
      <c r="A43" s="42" t="s">
        <v>522</v>
      </c>
      <c r="B43" s="75"/>
      <c r="C43" s="75"/>
      <c r="D43" s="75"/>
      <c r="E43" s="75"/>
      <c r="G43" s="75"/>
      <c r="H43" s="75"/>
      <c r="I43" s="75"/>
      <c r="J43" s="75"/>
      <c r="K43" s="75"/>
    </row>
    <row r="44" spans="1:11" x14ac:dyDescent="0.4">
      <c r="A44" s="62" t="s">
        <v>523</v>
      </c>
      <c r="B44" s="73">
        <f>ROUND((SUM(B37:B41)-MAX(B37:B41)-MIN(B37:B41))/3,3)</f>
        <v>1.329</v>
      </c>
      <c r="C44" s="73">
        <f>ROUND((SUM(C36:C40)-MAX(C36:C40)-MIN(C36:C40))/3,3)</f>
        <v>1.198</v>
      </c>
      <c r="D44" s="73">
        <f>ROUND((SUM(D35:D39)-MAX(D35:D39)-MIN(D35:D39))/3,3)</f>
        <v>1.0760000000000001</v>
      </c>
      <c r="E44" s="73">
        <f>ROUND((SUM(E34:E38)-MAX(E34:E38)-MIN(E34:E38))/3,3)</f>
        <v>1.02</v>
      </c>
      <c r="F44" s="73">
        <f>ROUND((SUM(F33:F37)-MAX(F33:F37)-MIN(F33:F37))/3,3)</f>
        <v>0.995</v>
      </c>
      <c r="G44" s="73">
        <f>ROUND((SUM(G32:G36)-MAX(G32:G36)-MIN(G32:G36))/3,3)</f>
        <v>0.998</v>
      </c>
      <c r="H44" s="73">
        <f>ROUND((SUM(H31:H35)-MAX(H31:H35)-MIN(H31:H35))/3,3)</f>
        <v>0.998</v>
      </c>
      <c r="I44" s="73">
        <f>ROUND((SUM(I30:I34)-MAX(I30:I34)-MIN(I30:I34))/3,3)</f>
        <v>1.002</v>
      </c>
      <c r="J44" s="73">
        <f>ROUND((SUM(J29:J33)-MAX(J29:J33)-MIN(J29:J33))/3,3)</f>
        <v>1</v>
      </c>
      <c r="K44" s="73"/>
    </row>
    <row r="45" spans="1:11" ht="10.9" customHeight="1" x14ac:dyDescent="0.4">
      <c r="A45" s="62"/>
      <c r="B45" s="73"/>
      <c r="C45" s="73"/>
      <c r="D45" s="73"/>
      <c r="E45" s="73"/>
      <c r="F45" s="73"/>
      <c r="G45" s="73"/>
      <c r="H45" s="73"/>
      <c r="I45" s="73"/>
      <c r="J45" s="73"/>
      <c r="K45" s="73"/>
    </row>
    <row r="46" spans="1:11" x14ac:dyDescent="0.4">
      <c r="B46" s="194" t="s">
        <v>524</v>
      </c>
      <c r="C46" s="194" t="s">
        <v>525</v>
      </c>
      <c r="D46" s="194" t="s">
        <v>526</v>
      </c>
      <c r="E46" s="194" t="s">
        <v>527</v>
      </c>
      <c r="F46" s="194" t="s">
        <v>528</v>
      </c>
      <c r="G46" s="194" t="s">
        <v>529</v>
      </c>
      <c r="H46" s="194" t="s">
        <v>530</v>
      </c>
      <c r="I46" s="194" t="s">
        <v>531</v>
      </c>
      <c r="J46" s="194" t="s">
        <v>532</v>
      </c>
      <c r="K46" s="194"/>
    </row>
    <row r="47" spans="1:11" x14ac:dyDescent="0.4">
      <c r="A47" s="2" t="s">
        <v>533</v>
      </c>
      <c r="B47" s="73">
        <f t="shared" ref="B47:I47" si="4">ROUND(C47*B44,3)</f>
        <v>1.736</v>
      </c>
      <c r="C47" s="73">
        <f t="shared" si="4"/>
        <v>1.306</v>
      </c>
      <c r="D47" s="73">
        <f t="shared" si="4"/>
        <v>1.0900000000000001</v>
      </c>
      <c r="E47" s="73">
        <f t="shared" si="4"/>
        <v>1.0129999999999999</v>
      </c>
      <c r="F47" s="73">
        <f t="shared" si="4"/>
        <v>0.99299999999999999</v>
      </c>
      <c r="G47" s="73">
        <f t="shared" si="4"/>
        <v>0.998</v>
      </c>
      <c r="H47" s="73">
        <f t="shared" si="4"/>
        <v>1</v>
      </c>
      <c r="I47" s="73">
        <f t="shared" si="4"/>
        <v>1.002</v>
      </c>
      <c r="J47" s="73">
        <f>J44</f>
        <v>1</v>
      </c>
      <c r="K47" s="73"/>
    </row>
    <row r="49" spans="2:6" x14ac:dyDescent="0.4">
      <c r="B49" s="195"/>
      <c r="C49" s="195"/>
      <c r="D49" s="195"/>
      <c r="E49" s="195"/>
      <c r="F49" s="195"/>
    </row>
  </sheetData>
  <mergeCells count="7">
    <mergeCell ref="A25:L25"/>
    <mergeCell ref="A1:L1"/>
    <mergeCell ref="A2:L2"/>
    <mergeCell ref="A3:L3"/>
    <mergeCell ref="A4:L4"/>
    <mergeCell ref="A5:L5"/>
    <mergeCell ref="A6:L6"/>
  </mergeCells>
  <printOptions horizontalCentered="1"/>
  <pageMargins left="0.25" right="0.25" top="0.75" bottom="0.75" header="0.3" footer="0.3"/>
  <pageSetup scale="84" firstPageNumber="0" orientation="landscape" useFirstPageNumber="1" r:id="rId1"/>
  <headerFooter>
    <oddHeader>&amp;L&amp;"Times New Roman"&amp;9INSURANCE SERVICES OFFICE, INC.</oddHeader>
    <oddFooter>&amp;C&amp;"Times New Roman"&amp;9© Insurance Services Office, Inc., 2022        		OREGON        BP-2021-RLA1&amp;R&amp;"Times New Roman"&amp;9&amp;A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1A9B82-F149-4A93-BF50-8C26C7A0A0C1}">
  <sheetPr>
    <pageSetUpPr fitToPage="1"/>
  </sheetPr>
  <dimension ref="A1:L49"/>
  <sheetViews>
    <sheetView workbookViewId="0">
      <selection sqref="A1:L1"/>
    </sheetView>
  </sheetViews>
  <sheetFormatPr defaultColWidth="9" defaultRowHeight="13.15" x14ac:dyDescent="0.4"/>
  <cols>
    <col min="1" max="1" width="9" style="2"/>
    <col min="2" max="9" width="12.265625" style="2" bestFit="1" customWidth="1"/>
    <col min="10" max="12" width="12.3984375" style="2" bestFit="1" customWidth="1"/>
    <col min="13" max="16384" width="9" style="2"/>
  </cols>
  <sheetData>
    <row r="1" spans="1:12" x14ac:dyDescent="0.4">
      <c r="A1" s="241"/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</row>
    <row r="2" spans="1:12" x14ac:dyDescent="0.4">
      <c r="A2" s="241" t="s">
        <v>153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</row>
    <row r="3" spans="1:12" x14ac:dyDescent="0.4">
      <c r="A3" s="241" t="s">
        <v>535</v>
      </c>
      <c r="B3" s="241"/>
      <c r="C3" s="241"/>
      <c r="D3" s="241"/>
      <c r="E3" s="241"/>
      <c r="F3" s="241"/>
      <c r="G3" s="241"/>
      <c r="H3" s="241"/>
      <c r="I3" s="241"/>
      <c r="J3" s="241"/>
      <c r="K3" s="241"/>
      <c r="L3" s="241"/>
    </row>
    <row r="4" spans="1:12" x14ac:dyDescent="0.4">
      <c r="A4" s="241" t="s">
        <v>505</v>
      </c>
      <c r="B4" s="241"/>
      <c r="C4" s="241"/>
      <c r="D4" s="241"/>
      <c r="E4" s="241"/>
      <c r="F4" s="241"/>
      <c r="G4" s="241"/>
      <c r="H4" s="241"/>
      <c r="I4" s="241"/>
      <c r="J4" s="241"/>
      <c r="K4" s="241"/>
      <c r="L4" s="241"/>
    </row>
    <row r="5" spans="1:12" x14ac:dyDescent="0.4">
      <c r="A5" s="241" t="s">
        <v>483</v>
      </c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</row>
    <row r="6" spans="1:12" x14ac:dyDescent="0.4">
      <c r="A6" s="243" t="s">
        <v>486</v>
      </c>
      <c r="B6" s="243"/>
      <c r="C6" s="243"/>
      <c r="D6" s="243"/>
      <c r="E6" s="243"/>
      <c r="F6" s="243"/>
      <c r="G6" s="243"/>
      <c r="H6" s="243"/>
      <c r="I6" s="243"/>
      <c r="J6" s="243"/>
      <c r="K6" s="243"/>
      <c r="L6" s="243"/>
    </row>
    <row r="8" spans="1:12" x14ac:dyDescent="0.4">
      <c r="A8" s="52" t="s">
        <v>451</v>
      </c>
      <c r="B8" s="52" t="s">
        <v>488</v>
      </c>
      <c r="C8" s="52" t="s">
        <v>489</v>
      </c>
      <c r="D8" s="52" t="s">
        <v>490</v>
      </c>
      <c r="E8" s="52" t="s">
        <v>507</v>
      </c>
      <c r="F8" s="52" t="s">
        <v>508</v>
      </c>
      <c r="G8" s="52" t="s">
        <v>509</v>
      </c>
      <c r="H8" s="52" t="s">
        <v>510</v>
      </c>
      <c r="I8" s="52" t="s">
        <v>511</v>
      </c>
      <c r="J8" s="52" t="s">
        <v>512</v>
      </c>
      <c r="K8" s="52" t="s">
        <v>513</v>
      </c>
      <c r="L8" s="52"/>
    </row>
    <row r="9" spans="1:12" x14ac:dyDescent="0.4">
      <c r="A9" s="42">
        <f t="shared" ref="A9:A21" si="0">A10-1</f>
        <v>2006</v>
      </c>
      <c r="B9" s="190">
        <v>31563414</v>
      </c>
      <c r="C9" s="190">
        <v>39411191</v>
      </c>
      <c r="D9" s="190">
        <v>43806704</v>
      </c>
      <c r="E9" s="190">
        <v>45685698</v>
      </c>
      <c r="F9" s="190">
        <v>47281813</v>
      </c>
      <c r="G9" s="190">
        <v>48682130</v>
      </c>
      <c r="H9" s="190">
        <v>50406909</v>
      </c>
      <c r="I9" s="190">
        <v>51760459</v>
      </c>
      <c r="J9" s="190">
        <v>51725804</v>
      </c>
      <c r="K9" s="190">
        <v>50690804</v>
      </c>
      <c r="L9" s="191"/>
    </row>
    <row r="10" spans="1:12" x14ac:dyDescent="0.4">
      <c r="A10" s="42">
        <f t="shared" si="0"/>
        <v>2007</v>
      </c>
      <c r="B10" s="190">
        <v>37704265</v>
      </c>
      <c r="C10" s="190">
        <v>47045520</v>
      </c>
      <c r="D10" s="190">
        <v>53192200</v>
      </c>
      <c r="E10" s="190">
        <v>57136446</v>
      </c>
      <c r="F10" s="190">
        <v>58814276</v>
      </c>
      <c r="G10" s="190">
        <v>60811929</v>
      </c>
      <c r="H10" s="190">
        <v>61576456</v>
      </c>
      <c r="I10" s="190">
        <v>62364883</v>
      </c>
      <c r="J10" s="190">
        <v>61938580</v>
      </c>
      <c r="K10" s="190">
        <v>62049589</v>
      </c>
      <c r="L10" s="191"/>
    </row>
    <row r="11" spans="1:12" x14ac:dyDescent="0.4">
      <c r="A11" s="42">
        <f t="shared" si="0"/>
        <v>2008</v>
      </c>
      <c r="B11" s="190">
        <v>40664922</v>
      </c>
      <c r="C11" s="190">
        <v>50442234</v>
      </c>
      <c r="D11" s="190">
        <v>57752932</v>
      </c>
      <c r="E11" s="190">
        <v>64348328</v>
      </c>
      <c r="F11" s="190">
        <v>68724715</v>
      </c>
      <c r="G11" s="190">
        <v>70049529</v>
      </c>
      <c r="H11" s="190">
        <v>71221728</v>
      </c>
      <c r="I11" s="190">
        <v>69992725</v>
      </c>
      <c r="J11" s="190">
        <v>71885094</v>
      </c>
      <c r="K11" s="190">
        <v>72632895</v>
      </c>
      <c r="L11" s="191"/>
    </row>
    <row r="12" spans="1:12" x14ac:dyDescent="0.4">
      <c r="A12" s="42">
        <f t="shared" si="0"/>
        <v>2009</v>
      </c>
      <c r="B12" s="190">
        <v>45554382</v>
      </c>
      <c r="C12" s="190">
        <v>53863403</v>
      </c>
      <c r="D12" s="190">
        <v>63777822</v>
      </c>
      <c r="E12" s="190">
        <v>65938084</v>
      </c>
      <c r="F12" s="190">
        <v>69613126</v>
      </c>
      <c r="G12" s="190">
        <v>69929578</v>
      </c>
      <c r="H12" s="190">
        <v>69940665</v>
      </c>
      <c r="I12" s="190">
        <v>72084009</v>
      </c>
      <c r="J12" s="190">
        <v>74040873</v>
      </c>
      <c r="K12" s="190">
        <v>74974704</v>
      </c>
      <c r="L12" s="191"/>
    </row>
    <row r="13" spans="1:12" x14ac:dyDescent="0.4">
      <c r="A13" s="42">
        <f t="shared" si="0"/>
        <v>2010</v>
      </c>
      <c r="B13" s="190">
        <v>45126344</v>
      </c>
      <c r="C13" s="190">
        <v>57956830</v>
      </c>
      <c r="D13" s="190">
        <v>65292591</v>
      </c>
      <c r="E13" s="190">
        <v>71385500</v>
      </c>
      <c r="F13" s="190">
        <v>73398669</v>
      </c>
      <c r="G13" s="190">
        <v>73619283</v>
      </c>
      <c r="H13" s="190">
        <v>74261210</v>
      </c>
      <c r="I13" s="190">
        <v>75699460</v>
      </c>
      <c r="J13" s="190">
        <v>76836519</v>
      </c>
      <c r="K13" s="190">
        <v>77340329</v>
      </c>
      <c r="L13" s="191"/>
    </row>
    <row r="14" spans="1:12" x14ac:dyDescent="0.4">
      <c r="A14" s="42">
        <f t="shared" si="0"/>
        <v>2011</v>
      </c>
      <c r="B14" s="190">
        <v>47520057</v>
      </c>
      <c r="C14" s="190">
        <v>61846141</v>
      </c>
      <c r="D14" s="190">
        <v>71771868</v>
      </c>
      <c r="E14" s="190">
        <v>77755891</v>
      </c>
      <c r="F14" s="190">
        <v>79639537</v>
      </c>
      <c r="G14" s="190">
        <v>81255973</v>
      </c>
      <c r="H14" s="190">
        <v>81254657</v>
      </c>
      <c r="I14" s="190">
        <v>83292600</v>
      </c>
      <c r="J14" s="190">
        <v>83879390</v>
      </c>
      <c r="K14" s="190">
        <v>85725370</v>
      </c>
      <c r="L14" s="191"/>
    </row>
    <row r="15" spans="1:12" x14ac:dyDescent="0.4">
      <c r="A15" s="42">
        <f t="shared" si="0"/>
        <v>2012</v>
      </c>
      <c r="B15" s="190">
        <v>41909210</v>
      </c>
      <c r="C15" s="190">
        <v>53987517</v>
      </c>
      <c r="D15" s="190">
        <v>63416262</v>
      </c>
      <c r="E15" s="190">
        <v>70340624</v>
      </c>
      <c r="F15" s="190">
        <v>74819293</v>
      </c>
      <c r="G15" s="190">
        <v>75760084</v>
      </c>
      <c r="H15" s="190">
        <v>76476512</v>
      </c>
      <c r="I15" s="190">
        <v>77055079</v>
      </c>
      <c r="J15" s="190">
        <v>79152214</v>
      </c>
      <c r="K15" s="190" t="s">
        <v>619</v>
      </c>
      <c r="L15" s="191"/>
    </row>
    <row r="16" spans="1:12" x14ac:dyDescent="0.4">
      <c r="A16" s="42">
        <f t="shared" si="0"/>
        <v>2013</v>
      </c>
      <c r="B16" s="190">
        <v>47813081</v>
      </c>
      <c r="C16" s="190">
        <v>63771727</v>
      </c>
      <c r="D16" s="190">
        <v>76252862</v>
      </c>
      <c r="E16" s="190">
        <v>83032715</v>
      </c>
      <c r="F16" s="190">
        <v>89496419</v>
      </c>
      <c r="G16" s="190">
        <v>93311074</v>
      </c>
      <c r="H16" s="190">
        <v>95646819</v>
      </c>
      <c r="I16" s="190">
        <v>99499888</v>
      </c>
      <c r="J16" s="190" t="s">
        <v>619</v>
      </c>
      <c r="K16" s="190" t="s">
        <v>619</v>
      </c>
      <c r="L16" s="191"/>
    </row>
    <row r="17" spans="1:12" x14ac:dyDescent="0.4">
      <c r="A17" s="42">
        <f t="shared" si="0"/>
        <v>2014</v>
      </c>
      <c r="B17" s="190">
        <v>52077607</v>
      </c>
      <c r="C17" s="190">
        <v>73128079</v>
      </c>
      <c r="D17" s="190">
        <v>90002587</v>
      </c>
      <c r="E17" s="190">
        <v>100323249</v>
      </c>
      <c r="F17" s="190">
        <v>105118797</v>
      </c>
      <c r="G17" s="190">
        <v>109322453</v>
      </c>
      <c r="H17" s="190">
        <v>113444933</v>
      </c>
      <c r="I17" s="190" t="s">
        <v>619</v>
      </c>
      <c r="J17" s="190" t="s">
        <v>619</v>
      </c>
      <c r="K17" s="190" t="s">
        <v>619</v>
      </c>
      <c r="L17" s="191"/>
    </row>
    <row r="18" spans="1:12" x14ac:dyDescent="0.4">
      <c r="A18" s="42">
        <f t="shared" si="0"/>
        <v>2015</v>
      </c>
      <c r="B18" s="190">
        <v>54344904</v>
      </c>
      <c r="C18" s="190">
        <v>74775557</v>
      </c>
      <c r="D18" s="190">
        <v>92973948</v>
      </c>
      <c r="E18" s="190">
        <v>101922980</v>
      </c>
      <c r="F18" s="190">
        <v>107388038</v>
      </c>
      <c r="G18" s="190">
        <v>112215214</v>
      </c>
      <c r="H18" s="190" t="s">
        <v>619</v>
      </c>
      <c r="I18" s="190" t="s">
        <v>619</v>
      </c>
      <c r="J18" s="190" t="s">
        <v>619</v>
      </c>
      <c r="K18" s="190" t="s">
        <v>619</v>
      </c>
      <c r="L18" s="191"/>
    </row>
    <row r="19" spans="1:12" x14ac:dyDescent="0.4">
      <c r="A19" s="42">
        <f t="shared" si="0"/>
        <v>2016</v>
      </c>
      <c r="B19" s="190">
        <v>58200058</v>
      </c>
      <c r="C19" s="190">
        <v>78866651</v>
      </c>
      <c r="D19" s="190">
        <v>94883253</v>
      </c>
      <c r="E19" s="190">
        <v>103036053</v>
      </c>
      <c r="F19" s="190">
        <v>108311943</v>
      </c>
      <c r="G19" s="190" t="s">
        <v>619</v>
      </c>
      <c r="H19" s="190" t="s">
        <v>619</v>
      </c>
      <c r="I19" s="190" t="s">
        <v>619</v>
      </c>
      <c r="J19" s="190" t="s">
        <v>619</v>
      </c>
      <c r="K19" s="190" t="s">
        <v>619</v>
      </c>
      <c r="L19" s="191"/>
    </row>
    <row r="20" spans="1:12" x14ac:dyDescent="0.4">
      <c r="A20" s="42">
        <f t="shared" si="0"/>
        <v>2017</v>
      </c>
      <c r="B20" s="190">
        <v>60811291</v>
      </c>
      <c r="C20" s="190">
        <v>80225605</v>
      </c>
      <c r="D20" s="190">
        <v>97024385</v>
      </c>
      <c r="E20" s="190">
        <v>108335859</v>
      </c>
      <c r="F20" s="190" t="s">
        <v>619</v>
      </c>
      <c r="G20" s="190" t="s">
        <v>619</v>
      </c>
      <c r="H20" s="190" t="s">
        <v>619</v>
      </c>
      <c r="I20" s="190" t="s">
        <v>619</v>
      </c>
      <c r="J20" s="190" t="s">
        <v>619</v>
      </c>
      <c r="K20" s="190" t="s">
        <v>619</v>
      </c>
      <c r="L20" s="191"/>
    </row>
    <row r="21" spans="1:12" x14ac:dyDescent="0.4">
      <c r="A21" s="42">
        <f t="shared" si="0"/>
        <v>2018</v>
      </c>
      <c r="B21" s="190">
        <v>58716301</v>
      </c>
      <c r="C21" s="190">
        <v>81405790</v>
      </c>
      <c r="D21" s="190">
        <v>104708819</v>
      </c>
      <c r="E21" s="190" t="s">
        <v>619</v>
      </c>
      <c r="F21" s="190" t="s">
        <v>619</v>
      </c>
      <c r="G21" s="190" t="s">
        <v>619</v>
      </c>
      <c r="H21" s="190" t="s">
        <v>619</v>
      </c>
      <c r="I21" s="190" t="s">
        <v>619</v>
      </c>
      <c r="J21" s="190" t="s">
        <v>619</v>
      </c>
      <c r="K21" s="190" t="s">
        <v>619</v>
      </c>
      <c r="L21" s="191"/>
    </row>
    <row r="22" spans="1:12" x14ac:dyDescent="0.4">
      <c r="A22" s="42">
        <f>A23-1</f>
        <v>2019</v>
      </c>
      <c r="B22" s="190">
        <v>64960421</v>
      </c>
      <c r="C22" s="190">
        <v>92273514</v>
      </c>
      <c r="D22" s="190" t="s">
        <v>619</v>
      </c>
      <c r="E22" s="190" t="s">
        <v>619</v>
      </c>
      <c r="F22" s="190" t="s">
        <v>619</v>
      </c>
      <c r="G22" s="190" t="s">
        <v>619</v>
      </c>
      <c r="H22" s="190" t="s">
        <v>619</v>
      </c>
      <c r="I22" s="190" t="s">
        <v>619</v>
      </c>
      <c r="J22" s="190" t="s">
        <v>619</v>
      </c>
      <c r="K22" s="190" t="s">
        <v>619</v>
      </c>
      <c r="L22" s="191"/>
    </row>
    <row r="23" spans="1:12" x14ac:dyDescent="0.4">
      <c r="A23" s="42">
        <f>YEAR(DZ_INPUTS!B3)</f>
        <v>2020</v>
      </c>
      <c r="B23" s="190">
        <v>69439287</v>
      </c>
      <c r="C23" s="190" t="s">
        <v>619</v>
      </c>
      <c r="D23" s="190" t="s">
        <v>619</v>
      </c>
      <c r="E23" s="190" t="s">
        <v>619</v>
      </c>
      <c r="F23" s="190" t="s">
        <v>619</v>
      </c>
      <c r="G23" s="190" t="s">
        <v>619</v>
      </c>
      <c r="H23" s="190" t="s">
        <v>619</v>
      </c>
      <c r="I23" s="190" t="s">
        <v>619</v>
      </c>
      <c r="J23" s="190" t="s">
        <v>619</v>
      </c>
      <c r="K23" s="190" t="s">
        <v>619</v>
      </c>
      <c r="L23" s="191"/>
    </row>
    <row r="24" spans="1:12" ht="7.15" customHeight="1" x14ac:dyDescent="0.4"/>
    <row r="25" spans="1:12" x14ac:dyDescent="0.4">
      <c r="A25" s="243" t="s">
        <v>514</v>
      </c>
      <c r="B25" s="243"/>
      <c r="C25" s="243"/>
      <c r="D25" s="243"/>
      <c r="E25" s="243"/>
      <c r="F25" s="243"/>
      <c r="G25" s="243"/>
      <c r="H25" s="243"/>
      <c r="I25" s="243"/>
      <c r="J25" s="243"/>
      <c r="K25" s="243"/>
      <c r="L25" s="243"/>
    </row>
    <row r="26" spans="1:12" ht="7.15" customHeight="1" x14ac:dyDescent="0.4"/>
    <row r="27" spans="1:12" x14ac:dyDescent="0.4">
      <c r="A27" s="52" t="s">
        <v>451</v>
      </c>
      <c r="B27" s="189" t="s">
        <v>491</v>
      </c>
      <c r="C27" s="189" t="s">
        <v>492</v>
      </c>
      <c r="D27" s="189" t="s">
        <v>515</v>
      </c>
      <c r="E27" s="189" t="s">
        <v>516</v>
      </c>
      <c r="F27" s="189" t="s">
        <v>517</v>
      </c>
      <c r="G27" s="189" t="s">
        <v>518</v>
      </c>
      <c r="H27" s="189" t="s">
        <v>519</v>
      </c>
      <c r="I27" s="189" t="s">
        <v>520</v>
      </c>
      <c r="J27" s="189" t="s">
        <v>521</v>
      </c>
      <c r="K27" s="189"/>
    </row>
    <row r="28" spans="1:12" x14ac:dyDescent="0.4">
      <c r="A28" s="42">
        <f>A9</f>
        <v>2006</v>
      </c>
      <c r="B28" s="73">
        <f>ROUND(C9/B9,3)</f>
        <v>1.2490000000000001</v>
      </c>
      <c r="C28" s="73">
        <f t="shared" ref="C28:J28" si="1">ROUND(D9/C9,3)</f>
        <v>1.1120000000000001</v>
      </c>
      <c r="D28" s="73">
        <f t="shared" si="1"/>
        <v>1.0429999999999999</v>
      </c>
      <c r="E28" s="73">
        <f t="shared" si="1"/>
        <v>1.0349999999999999</v>
      </c>
      <c r="F28" s="73">
        <f t="shared" si="1"/>
        <v>1.03</v>
      </c>
      <c r="G28" s="73">
        <f t="shared" si="1"/>
        <v>1.0349999999999999</v>
      </c>
      <c r="H28" s="73">
        <f t="shared" si="1"/>
        <v>1.0269999999999999</v>
      </c>
      <c r="I28" s="73">
        <f t="shared" si="1"/>
        <v>0.999</v>
      </c>
      <c r="J28" s="73">
        <f t="shared" si="1"/>
        <v>0.98</v>
      </c>
      <c r="K28" s="73"/>
    </row>
    <row r="29" spans="1:12" x14ac:dyDescent="0.4">
      <c r="A29" s="42">
        <f t="shared" ref="A29:A41" si="2">A10</f>
        <v>2007</v>
      </c>
      <c r="B29" s="73">
        <f t="shared" ref="B29:J41" si="3">ROUND(C10/B10,3)</f>
        <v>1.248</v>
      </c>
      <c r="C29" s="73">
        <f t="shared" si="3"/>
        <v>1.131</v>
      </c>
      <c r="D29" s="73">
        <f t="shared" si="3"/>
        <v>1.0740000000000001</v>
      </c>
      <c r="E29" s="73">
        <f t="shared" si="3"/>
        <v>1.0289999999999999</v>
      </c>
      <c r="F29" s="73">
        <f t="shared" si="3"/>
        <v>1.034</v>
      </c>
      <c r="G29" s="73">
        <f t="shared" si="3"/>
        <v>1.0129999999999999</v>
      </c>
      <c r="H29" s="73">
        <f t="shared" si="3"/>
        <v>1.0129999999999999</v>
      </c>
      <c r="I29" s="73">
        <f t="shared" si="3"/>
        <v>0.99299999999999999</v>
      </c>
      <c r="J29" s="73">
        <f t="shared" si="3"/>
        <v>1.002</v>
      </c>
      <c r="K29" s="73"/>
    </row>
    <row r="30" spans="1:12" x14ac:dyDescent="0.4">
      <c r="A30" s="42">
        <f t="shared" si="2"/>
        <v>2008</v>
      </c>
      <c r="B30" s="73">
        <f t="shared" si="3"/>
        <v>1.24</v>
      </c>
      <c r="C30" s="73">
        <f t="shared" si="3"/>
        <v>1.145</v>
      </c>
      <c r="D30" s="73">
        <f t="shared" si="3"/>
        <v>1.1140000000000001</v>
      </c>
      <c r="E30" s="73">
        <f t="shared" si="3"/>
        <v>1.0680000000000001</v>
      </c>
      <c r="F30" s="73">
        <f t="shared" si="3"/>
        <v>1.0189999999999999</v>
      </c>
      <c r="G30" s="73">
        <f t="shared" si="3"/>
        <v>1.0169999999999999</v>
      </c>
      <c r="H30" s="73">
        <f t="shared" si="3"/>
        <v>0.98299999999999998</v>
      </c>
      <c r="I30" s="73">
        <f t="shared" si="3"/>
        <v>1.0269999999999999</v>
      </c>
      <c r="J30" s="73">
        <f t="shared" si="3"/>
        <v>1.01</v>
      </c>
      <c r="K30" s="73"/>
    </row>
    <row r="31" spans="1:12" x14ac:dyDescent="0.4">
      <c r="A31" s="42">
        <f t="shared" si="2"/>
        <v>2009</v>
      </c>
      <c r="B31" s="73">
        <f t="shared" si="3"/>
        <v>1.1819999999999999</v>
      </c>
      <c r="C31" s="73">
        <f t="shared" si="3"/>
        <v>1.1839999999999999</v>
      </c>
      <c r="D31" s="73">
        <f t="shared" si="3"/>
        <v>1.034</v>
      </c>
      <c r="E31" s="73">
        <f t="shared" si="3"/>
        <v>1.056</v>
      </c>
      <c r="F31" s="73">
        <f t="shared" si="3"/>
        <v>1.0049999999999999</v>
      </c>
      <c r="G31" s="73">
        <f t="shared" si="3"/>
        <v>1</v>
      </c>
      <c r="H31" s="73">
        <f t="shared" si="3"/>
        <v>1.0309999999999999</v>
      </c>
      <c r="I31" s="73">
        <f t="shared" si="3"/>
        <v>1.0269999999999999</v>
      </c>
      <c r="J31" s="73">
        <f t="shared" si="3"/>
        <v>1.0129999999999999</v>
      </c>
      <c r="K31" s="73"/>
    </row>
    <row r="32" spans="1:12" x14ac:dyDescent="0.4">
      <c r="A32" s="42">
        <f t="shared" si="2"/>
        <v>2010</v>
      </c>
      <c r="B32" s="73">
        <f t="shared" si="3"/>
        <v>1.284</v>
      </c>
      <c r="C32" s="73">
        <f t="shared" si="3"/>
        <v>1.127</v>
      </c>
      <c r="D32" s="73">
        <f t="shared" si="3"/>
        <v>1.093</v>
      </c>
      <c r="E32" s="73">
        <f t="shared" si="3"/>
        <v>1.028</v>
      </c>
      <c r="F32" s="73">
        <f t="shared" si="3"/>
        <v>1.0029999999999999</v>
      </c>
      <c r="G32" s="73">
        <f t="shared" si="3"/>
        <v>1.0089999999999999</v>
      </c>
      <c r="H32" s="73">
        <f t="shared" si="3"/>
        <v>1.0189999999999999</v>
      </c>
      <c r="I32" s="73">
        <f t="shared" si="3"/>
        <v>1.0149999999999999</v>
      </c>
      <c r="J32" s="73">
        <f t="shared" si="3"/>
        <v>1.0069999999999999</v>
      </c>
      <c r="K32" s="73"/>
    </row>
    <row r="33" spans="1:11" x14ac:dyDescent="0.4">
      <c r="A33" s="42">
        <f t="shared" si="2"/>
        <v>2011</v>
      </c>
      <c r="B33" s="73">
        <f t="shared" si="3"/>
        <v>1.3009999999999999</v>
      </c>
      <c r="C33" s="73">
        <f t="shared" si="3"/>
        <v>1.1599999999999999</v>
      </c>
      <c r="D33" s="73">
        <f t="shared" si="3"/>
        <v>1.083</v>
      </c>
      <c r="E33" s="73">
        <f t="shared" si="3"/>
        <v>1.024</v>
      </c>
      <c r="F33" s="73">
        <f t="shared" si="3"/>
        <v>1.02</v>
      </c>
      <c r="G33" s="73">
        <f t="shared" si="3"/>
        <v>1</v>
      </c>
      <c r="H33" s="73">
        <f t="shared" si="3"/>
        <v>1.0249999999999999</v>
      </c>
      <c r="I33" s="73">
        <f t="shared" si="3"/>
        <v>1.0069999999999999</v>
      </c>
      <c r="J33" s="73">
        <f t="shared" si="3"/>
        <v>1.022</v>
      </c>
      <c r="K33" s="73"/>
    </row>
    <row r="34" spans="1:11" x14ac:dyDescent="0.4">
      <c r="A34" s="42">
        <f t="shared" si="2"/>
        <v>2012</v>
      </c>
      <c r="B34" s="73">
        <f t="shared" si="3"/>
        <v>1.288</v>
      </c>
      <c r="C34" s="73">
        <f t="shared" si="3"/>
        <v>1.175</v>
      </c>
      <c r="D34" s="73">
        <f t="shared" si="3"/>
        <v>1.109</v>
      </c>
      <c r="E34" s="73">
        <f t="shared" si="3"/>
        <v>1.0640000000000001</v>
      </c>
      <c r="F34" s="73">
        <f t="shared" si="3"/>
        <v>1.0129999999999999</v>
      </c>
      <c r="G34" s="73">
        <f t="shared" si="3"/>
        <v>1.0089999999999999</v>
      </c>
      <c r="H34" s="73">
        <f t="shared" si="3"/>
        <v>1.008</v>
      </c>
      <c r="I34" s="73">
        <f t="shared" si="3"/>
        <v>1.0269999999999999</v>
      </c>
      <c r="J34" s="73"/>
      <c r="K34" s="73"/>
    </row>
    <row r="35" spans="1:11" x14ac:dyDescent="0.4">
      <c r="A35" s="42">
        <f t="shared" si="2"/>
        <v>2013</v>
      </c>
      <c r="B35" s="73">
        <f t="shared" si="3"/>
        <v>1.3340000000000001</v>
      </c>
      <c r="C35" s="73">
        <f t="shared" si="3"/>
        <v>1.196</v>
      </c>
      <c r="D35" s="73">
        <f t="shared" si="3"/>
        <v>1.089</v>
      </c>
      <c r="E35" s="73">
        <f t="shared" si="3"/>
        <v>1.0780000000000001</v>
      </c>
      <c r="F35" s="73">
        <f t="shared" si="3"/>
        <v>1.0429999999999999</v>
      </c>
      <c r="G35" s="73">
        <f t="shared" si="3"/>
        <v>1.0249999999999999</v>
      </c>
      <c r="H35" s="73">
        <f t="shared" si="3"/>
        <v>1.04</v>
      </c>
      <c r="I35" s="73"/>
      <c r="J35" s="73"/>
      <c r="K35" s="73"/>
    </row>
    <row r="36" spans="1:11" x14ac:dyDescent="0.4">
      <c r="A36" s="42">
        <f t="shared" si="2"/>
        <v>2014</v>
      </c>
      <c r="B36" s="73">
        <f t="shared" si="3"/>
        <v>1.4039999999999999</v>
      </c>
      <c r="C36" s="73">
        <f t="shared" si="3"/>
        <v>1.2310000000000001</v>
      </c>
      <c r="D36" s="73">
        <f t="shared" si="3"/>
        <v>1.115</v>
      </c>
      <c r="E36" s="73">
        <f t="shared" si="3"/>
        <v>1.048</v>
      </c>
      <c r="F36" s="73">
        <f t="shared" si="3"/>
        <v>1.04</v>
      </c>
      <c r="G36" s="73">
        <f t="shared" si="3"/>
        <v>1.038</v>
      </c>
      <c r="H36" s="73"/>
      <c r="I36" s="73"/>
      <c r="J36" s="73"/>
      <c r="K36" s="73"/>
    </row>
    <row r="37" spans="1:11" x14ac:dyDescent="0.4">
      <c r="A37" s="42">
        <f t="shared" si="2"/>
        <v>2015</v>
      </c>
      <c r="B37" s="73">
        <f t="shared" si="3"/>
        <v>1.3759999999999999</v>
      </c>
      <c r="C37" s="73">
        <f t="shared" si="3"/>
        <v>1.2430000000000001</v>
      </c>
      <c r="D37" s="73">
        <f t="shared" si="3"/>
        <v>1.0960000000000001</v>
      </c>
      <c r="E37" s="73">
        <f t="shared" si="3"/>
        <v>1.054</v>
      </c>
      <c r="F37" s="73">
        <f t="shared" si="3"/>
        <v>1.0449999999999999</v>
      </c>
      <c r="G37" s="73"/>
      <c r="H37" s="73"/>
      <c r="I37" s="73"/>
      <c r="J37" s="73"/>
      <c r="K37" s="73"/>
    </row>
    <row r="38" spans="1:11" x14ac:dyDescent="0.4">
      <c r="A38" s="42">
        <f t="shared" si="2"/>
        <v>2016</v>
      </c>
      <c r="B38" s="73">
        <f t="shared" si="3"/>
        <v>1.355</v>
      </c>
      <c r="C38" s="73">
        <f t="shared" si="3"/>
        <v>1.2030000000000001</v>
      </c>
      <c r="D38" s="73">
        <f t="shared" si="3"/>
        <v>1.0860000000000001</v>
      </c>
      <c r="E38" s="73">
        <f t="shared" si="3"/>
        <v>1.0509999999999999</v>
      </c>
      <c r="F38" s="73"/>
      <c r="G38" s="73"/>
      <c r="H38" s="73"/>
      <c r="I38" s="73"/>
      <c r="J38" s="73"/>
      <c r="K38" s="73"/>
    </row>
    <row r="39" spans="1:11" x14ac:dyDescent="0.4">
      <c r="A39" s="42">
        <f t="shared" si="2"/>
        <v>2017</v>
      </c>
      <c r="B39" s="73">
        <f t="shared" si="3"/>
        <v>1.319</v>
      </c>
      <c r="C39" s="73">
        <f t="shared" si="3"/>
        <v>1.2090000000000001</v>
      </c>
      <c r="D39" s="73">
        <f t="shared" si="3"/>
        <v>1.117</v>
      </c>
      <c r="E39" s="73"/>
      <c r="F39" s="73"/>
      <c r="G39" s="73"/>
      <c r="H39" s="73"/>
      <c r="I39" s="73"/>
      <c r="J39" s="73"/>
      <c r="K39" s="73"/>
    </row>
    <row r="40" spans="1:11" x14ac:dyDescent="0.4">
      <c r="A40" s="42">
        <f t="shared" si="2"/>
        <v>2018</v>
      </c>
      <c r="B40" s="73">
        <f t="shared" si="3"/>
        <v>1.3859999999999999</v>
      </c>
      <c r="C40" s="73">
        <f t="shared" si="3"/>
        <v>1.286</v>
      </c>
      <c r="D40" s="73"/>
      <c r="E40" s="73"/>
      <c r="F40" s="73"/>
      <c r="G40" s="73"/>
      <c r="H40" s="73"/>
      <c r="I40" s="73"/>
      <c r="J40" s="73"/>
      <c r="K40" s="73"/>
    </row>
    <row r="41" spans="1:11" x14ac:dyDescent="0.4">
      <c r="A41" s="42">
        <f t="shared" si="2"/>
        <v>2019</v>
      </c>
      <c r="B41" s="73">
        <f t="shared" si="3"/>
        <v>1.42</v>
      </c>
      <c r="C41" s="73"/>
      <c r="D41" s="73"/>
      <c r="E41" s="73"/>
      <c r="F41" s="73"/>
      <c r="G41" s="73"/>
      <c r="H41" s="73"/>
      <c r="I41" s="73"/>
      <c r="J41" s="73"/>
      <c r="K41" s="73"/>
    </row>
    <row r="42" spans="1:11" x14ac:dyDescent="0.4">
      <c r="A42" s="42"/>
      <c r="B42" s="73"/>
      <c r="C42" s="73"/>
      <c r="D42" s="73"/>
      <c r="E42" s="73"/>
      <c r="F42" s="73"/>
      <c r="G42" s="73"/>
      <c r="H42" s="73"/>
      <c r="I42" s="73"/>
      <c r="J42" s="73"/>
      <c r="K42" s="73"/>
    </row>
    <row r="43" spans="1:11" x14ac:dyDescent="0.4">
      <c r="A43" s="42" t="s">
        <v>522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x14ac:dyDescent="0.4">
      <c r="A44" s="62" t="s">
        <v>523</v>
      </c>
      <c r="B44" s="73">
        <f>ROUND((SUM(B37:B41)-MAX(B37:B41)-MIN(B37:B41))/3,3)</f>
        <v>1.3720000000000001</v>
      </c>
      <c r="C44" s="73">
        <f>ROUND((SUM(C36:C40)-MAX(C36:C40)-MIN(C36:C40))/3,3)</f>
        <v>1.228</v>
      </c>
      <c r="D44" s="73">
        <f>ROUND((SUM(D35:D39)-MAX(D35:D39)-MIN(D35:D39))/3,3)</f>
        <v>1.1000000000000001</v>
      </c>
      <c r="E44" s="73">
        <f>ROUND((SUM(E34:E38)-MAX(E34:E38)-MIN(E34:E38))/3,3)</f>
        <v>1.056</v>
      </c>
      <c r="F44" s="73">
        <f>ROUND((SUM(F33:F37)-MAX(F33:F37)-MIN(F33:F37))/3,3)</f>
        <v>1.034</v>
      </c>
      <c r="G44" s="73">
        <f>ROUND((SUM(G32:G36)-MAX(G32:G36)-MIN(G32:G36))/3,3)</f>
        <v>1.014</v>
      </c>
      <c r="H44" s="73">
        <f>ROUND((SUM(H31:H35)-MAX(H31:H35)-MIN(H31:H35))/3,3)</f>
        <v>1.0249999999999999</v>
      </c>
      <c r="I44" s="73">
        <f>ROUND((SUM(I30:I34)-MAX(I30:I34)-MIN(I30:I34))/3,3)</f>
        <v>1.0229999999999999</v>
      </c>
      <c r="J44" s="73">
        <f>ROUND((SUM(J29:J33)-MAX(J29:J33)-MIN(J29:J33))/3,3)</f>
        <v>1.01</v>
      </c>
      <c r="K44" s="73"/>
    </row>
    <row r="45" spans="1:11" ht="10.9" customHeight="1" x14ac:dyDescent="0.4">
      <c r="A45" s="62"/>
      <c r="B45" s="73"/>
      <c r="C45" s="73"/>
      <c r="D45" s="73"/>
      <c r="E45" s="73"/>
      <c r="F45" s="73"/>
      <c r="G45" s="73"/>
      <c r="H45" s="73"/>
      <c r="I45" s="73"/>
      <c r="J45" s="73"/>
      <c r="K45" s="73"/>
    </row>
    <row r="46" spans="1:11" x14ac:dyDescent="0.4">
      <c r="B46" s="194" t="s">
        <v>524</v>
      </c>
      <c r="C46" s="194" t="s">
        <v>525</v>
      </c>
      <c r="D46" s="194" t="s">
        <v>526</v>
      </c>
      <c r="E46" s="194" t="s">
        <v>527</v>
      </c>
      <c r="F46" s="194" t="s">
        <v>528</v>
      </c>
      <c r="G46" s="194" t="s">
        <v>529</v>
      </c>
      <c r="H46" s="194" t="s">
        <v>530</v>
      </c>
      <c r="I46" s="194" t="s">
        <v>531</v>
      </c>
      <c r="J46" s="194" t="s">
        <v>532</v>
      </c>
      <c r="K46" s="194"/>
    </row>
    <row r="47" spans="1:11" x14ac:dyDescent="0.4">
      <c r="A47" s="2" t="s">
        <v>533</v>
      </c>
      <c r="B47" s="73">
        <f t="shared" ref="B47:I47" si="4">ROUND(C47*B44,3)</f>
        <v>2.173</v>
      </c>
      <c r="C47" s="73">
        <f t="shared" si="4"/>
        <v>1.5840000000000001</v>
      </c>
      <c r="D47" s="73">
        <f t="shared" si="4"/>
        <v>1.29</v>
      </c>
      <c r="E47" s="73">
        <f t="shared" si="4"/>
        <v>1.173</v>
      </c>
      <c r="F47" s="73">
        <f t="shared" si="4"/>
        <v>1.111</v>
      </c>
      <c r="G47" s="73">
        <f t="shared" si="4"/>
        <v>1.0740000000000001</v>
      </c>
      <c r="H47" s="73">
        <f t="shared" si="4"/>
        <v>1.0589999999999999</v>
      </c>
      <c r="I47" s="73">
        <f t="shared" si="4"/>
        <v>1.0329999999999999</v>
      </c>
      <c r="J47" s="73">
        <f>J44</f>
        <v>1.01</v>
      </c>
      <c r="K47" s="73"/>
    </row>
    <row r="49" spans="2:6" x14ac:dyDescent="0.4">
      <c r="B49" s="195"/>
      <c r="C49" s="195"/>
      <c r="D49" s="195"/>
      <c r="E49" s="195"/>
      <c r="F49" s="195"/>
    </row>
  </sheetData>
  <mergeCells count="7">
    <mergeCell ref="A25:L25"/>
    <mergeCell ref="A1:L1"/>
    <mergeCell ref="A2:L2"/>
    <mergeCell ref="A3:L3"/>
    <mergeCell ref="A4:L4"/>
    <mergeCell ref="A5:L5"/>
    <mergeCell ref="A6:L6"/>
  </mergeCells>
  <printOptions horizontalCentered="1"/>
  <pageMargins left="0.25" right="0.25" top="0.75" bottom="0.75" header="0.3" footer="0.3"/>
  <pageSetup scale="84" firstPageNumber="0" orientation="landscape" useFirstPageNumber="1" r:id="rId1"/>
  <headerFooter>
    <oddHeader>&amp;L&amp;"Times New Roman"&amp;9INSURANCE SERVICES OFFICE, INC.</oddHeader>
    <oddFooter>&amp;C&amp;"Times New Roman"&amp;9© Insurance Services Office, Inc., 2022        		OREGON        BP-2021-RLA1&amp;R&amp;"Times New Roman"&amp;9&amp;A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33E1B-3EBE-452C-B326-C77CC26EA0D8}">
  <sheetPr>
    <pageSetUpPr fitToPage="1"/>
  </sheetPr>
  <dimension ref="A1:P51"/>
  <sheetViews>
    <sheetView workbookViewId="0"/>
  </sheetViews>
  <sheetFormatPr defaultColWidth="9.1328125" defaultRowHeight="13.15" x14ac:dyDescent="0.4"/>
  <cols>
    <col min="1" max="1" width="4.59765625" style="4" customWidth="1"/>
    <col min="2" max="2" width="8.265625" style="4" customWidth="1"/>
    <col min="3" max="3" width="14.59765625" style="4" customWidth="1"/>
    <col min="4" max="4" width="14.73046875" style="4" customWidth="1"/>
    <col min="5" max="5" width="13.265625" style="4" customWidth="1"/>
    <col min="6" max="7" width="15.73046875" style="4" customWidth="1"/>
    <col min="8" max="10" width="9.1328125" style="4"/>
    <col min="11" max="11" width="39.59765625" style="4" bestFit="1" customWidth="1"/>
    <col min="12" max="16384" width="9.1328125" style="4"/>
  </cols>
  <sheetData>
    <row r="1" spans="1:16" x14ac:dyDescent="0.4">
      <c r="B1" s="259" t="str">
        <f>UPPER(state)</f>
        <v>OREGON</v>
      </c>
      <c r="C1" s="259"/>
      <c r="D1" s="259"/>
      <c r="E1" s="259"/>
      <c r="F1" s="259"/>
      <c r="G1" s="259"/>
    </row>
    <row r="2" spans="1:16" x14ac:dyDescent="0.4">
      <c r="B2" s="258"/>
      <c r="C2" s="258"/>
      <c r="D2" s="258"/>
      <c r="E2" s="258"/>
      <c r="F2" s="258"/>
      <c r="G2" s="258"/>
    </row>
    <row r="3" spans="1:16" x14ac:dyDescent="0.4">
      <c r="B3" s="259" t="s">
        <v>153</v>
      </c>
      <c r="C3" s="259"/>
      <c r="D3" s="259"/>
      <c r="E3" s="259"/>
      <c r="F3" s="259"/>
      <c r="G3" s="259"/>
    </row>
    <row r="4" spans="1:16" x14ac:dyDescent="0.4">
      <c r="B4" s="258"/>
      <c r="C4" s="258"/>
      <c r="D4" s="258"/>
      <c r="E4" s="258"/>
      <c r="F4" s="258"/>
      <c r="G4" s="258"/>
    </row>
    <row r="5" spans="1:16" x14ac:dyDescent="0.4">
      <c r="B5" s="259" t="s">
        <v>536</v>
      </c>
      <c r="C5" s="259"/>
      <c r="D5" s="259"/>
      <c r="E5" s="259"/>
      <c r="F5" s="259"/>
      <c r="G5" s="259"/>
    </row>
    <row r="6" spans="1:16" x14ac:dyDescent="0.4">
      <c r="B6" s="258"/>
      <c r="C6" s="258"/>
      <c r="D6" s="258"/>
      <c r="E6" s="258"/>
      <c r="F6" s="258"/>
      <c r="G6" s="258"/>
    </row>
    <row r="7" spans="1:16" x14ac:dyDescent="0.4">
      <c r="B7" s="260" t="s">
        <v>537</v>
      </c>
      <c r="C7" s="260"/>
      <c r="D7" s="260"/>
      <c r="E7" s="260"/>
      <c r="F7" s="260"/>
      <c r="G7" s="260"/>
    </row>
    <row r="8" spans="1:16" x14ac:dyDescent="0.4">
      <c r="B8" s="258"/>
      <c r="C8" s="258"/>
      <c r="D8" s="258"/>
      <c r="E8" s="258"/>
      <c r="F8" s="258"/>
      <c r="G8" s="258"/>
    </row>
    <row r="9" spans="1:16" x14ac:dyDescent="0.4">
      <c r="B9" s="260" t="s">
        <v>138</v>
      </c>
      <c r="C9" s="260"/>
      <c r="D9" s="260"/>
      <c r="E9" s="260"/>
      <c r="F9" s="260"/>
      <c r="G9" s="260"/>
    </row>
    <row r="11" spans="1:16" x14ac:dyDescent="0.4">
      <c r="B11" s="133"/>
      <c r="C11" s="132" t="s">
        <v>206</v>
      </c>
      <c r="D11" s="132" t="s">
        <v>207</v>
      </c>
      <c r="E11" s="132" t="s">
        <v>208</v>
      </c>
      <c r="F11" s="132" t="s">
        <v>227</v>
      </c>
      <c r="G11" s="132" t="s">
        <v>230</v>
      </c>
    </row>
    <row r="12" spans="1:16" x14ac:dyDescent="0.4">
      <c r="B12" s="133"/>
      <c r="C12" s="133" t="s">
        <v>370</v>
      </c>
      <c r="D12" s="133" t="s">
        <v>538</v>
      </c>
      <c r="E12" s="133" t="s">
        <v>539</v>
      </c>
      <c r="F12" s="133"/>
      <c r="G12" s="133" t="s">
        <v>540</v>
      </c>
      <c r="K12" s="197" t="s">
        <v>541</v>
      </c>
      <c r="L12" s="142"/>
    </row>
    <row r="13" spans="1:16" x14ac:dyDescent="0.4">
      <c r="A13" s="258"/>
      <c r="B13" s="258"/>
      <c r="C13" s="133" t="s">
        <v>542</v>
      </c>
      <c r="D13" s="133" t="s">
        <v>542</v>
      </c>
      <c r="E13" s="133" t="s">
        <v>542</v>
      </c>
      <c r="F13" s="133" t="s">
        <v>543</v>
      </c>
      <c r="G13" s="133" t="s">
        <v>284</v>
      </c>
      <c r="K13" s="198" t="s">
        <v>544</v>
      </c>
      <c r="L13" s="199">
        <v>0.25</v>
      </c>
    </row>
    <row r="14" spans="1:16" x14ac:dyDescent="0.4">
      <c r="A14" s="260" t="s">
        <v>109</v>
      </c>
      <c r="B14" s="260"/>
      <c r="C14" s="136" t="s">
        <v>545</v>
      </c>
      <c r="D14" s="136" t="s">
        <v>546</v>
      </c>
      <c r="E14" s="136" t="s">
        <v>547</v>
      </c>
      <c r="F14" s="136" t="s">
        <v>290</v>
      </c>
      <c r="G14" s="136" t="s">
        <v>547</v>
      </c>
      <c r="K14" s="198" t="s">
        <v>548</v>
      </c>
      <c r="L14" s="199">
        <v>0.75</v>
      </c>
    </row>
    <row r="15" spans="1:16" x14ac:dyDescent="0.4">
      <c r="A15" s="258"/>
      <c r="B15" s="258"/>
      <c r="K15" s="198"/>
      <c r="L15" s="150"/>
    </row>
    <row r="16" spans="1:16" x14ac:dyDescent="0.4">
      <c r="A16" s="259">
        <f t="shared" ref="A16:A19" si="0">A17-1</f>
        <v>2015</v>
      </c>
      <c r="B16" s="259"/>
      <c r="C16" s="200">
        <v>2.2999999999999909E-2</v>
      </c>
      <c r="D16" s="72">
        <f t="shared" ref="D16:D19" si="1">ROUND(D17*(1+C17),3)</f>
        <v>1.1279999999999999</v>
      </c>
      <c r="E16" s="72"/>
      <c r="F16" s="72"/>
      <c r="G16" s="72"/>
      <c r="K16" s="198" t="s">
        <v>549</v>
      </c>
      <c r="L16" s="144">
        <f>DATE(YEAR(DZ_INPUTS!B3),MONTH(DZ_INPUTS!B3)-5,1)</f>
        <v>43922</v>
      </c>
      <c r="M16" s="145"/>
      <c r="O16" s="145"/>
      <c r="P16" s="201"/>
    </row>
    <row r="17" spans="1:16" x14ac:dyDescent="0.4">
      <c r="A17" s="259">
        <f t="shared" si="0"/>
        <v>2016</v>
      </c>
      <c r="B17" s="259"/>
      <c r="C17" s="200">
        <v>2.0999999999999908E-2</v>
      </c>
      <c r="D17" s="72">
        <f t="shared" si="1"/>
        <v>1.105</v>
      </c>
      <c r="E17" s="72">
        <f t="shared" ref="E17:E20" si="2">ROUND((D17*$L$14)+(D16*$L$13),3)</f>
        <v>1.111</v>
      </c>
      <c r="F17" s="72">
        <f>ROUND((1+$C$21)^($L$18/12),3)</f>
        <v>1.0589999999999999</v>
      </c>
      <c r="G17" s="72">
        <f t="shared" ref="G17:G20" si="3">ROUND(E17*F17,3)</f>
        <v>1.177</v>
      </c>
      <c r="K17" s="198" t="s">
        <v>550</v>
      </c>
      <c r="L17" s="144">
        <f>DATE(YEAR(DZ_INPUTS!B5+0.5),MONTH(DZ_INPUTS!B5)+6,1)</f>
        <v>44805</v>
      </c>
      <c r="M17" s="145"/>
      <c r="O17" s="145"/>
      <c r="P17" s="201"/>
    </row>
    <row r="18" spans="1:16" x14ac:dyDescent="0.4">
      <c r="A18" s="259">
        <f t="shared" si="0"/>
        <v>2017</v>
      </c>
      <c r="B18" s="259"/>
      <c r="C18" s="200">
        <v>2.0999999999999908E-2</v>
      </c>
      <c r="D18" s="72">
        <f t="shared" si="1"/>
        <v>1.0820000000000001</v>
      </c>
      <c r="E18" s="72">
        <f t="shared" si="2"/>
        <v>1.0880000000000001</v>
      </c>
      <c r="F18" s="72">
        <f t="shared" ref="F18:F21" si="4">ROUND((1+$C$21)^($L$18/12),3)</f>
        <v>1.0589999999999999</v>
      </c>
      <c r="G18" s="72">
        <f t="shared" si="3"/>
        <v>1.1519999999999999</v>
      </c>
      <c r="K18" s="202" t="s">
        <v>551</v>
      </c>
      <c r="L18" s="203">
        <f>(YEAR(L17)-YEAR(L16))*12+MONTH(L17)-MONTH(L16)</f>
        <v>29</v>
      </c>
      <c r="O18" s="145"/>
      <c r="P18" s="201"/>
    </row>
    <row r="19" spans="1:16" x14ac:dyDescent="0.4">
      <c r="A19" s="259">
        <f t="shared" si="0"/>
        <v>2018</v>
      </c>
      <c r="B19" s="259"/>
      <c r="C19" s="200">
        <v>2.6999999999999913E-2</v>
      </c>
      <c r="D19" s="72">
        <f t="shared" si="1"/>
        <v>1.054</v>
      </c>
      <c r="E19" s="72">
        <f t="shared" si="2"/>
        <v>1.0609999999999999</v>
      </c>
      <c r="F19" s="72">
        <f t="shared" si="4"/>
        <v>1.0589999999999999</v>
      </c>
      <c r="G19" s="72">
        <f t="shared" si="3"/>
        <v>1.1240000000000001</v>
      </c>
      <c r="O19" s="145"/>
      <c r="P19" s="201"/>
    </row>
    <row r="20" spans="1:16" x14ac:dyDescent="0.4">
      <c r="A20" s="259">
        <f>A21-1</f>
        <v>2019</v>
      </c>
      <c r="B20" s="259"/>
      <c r="C20" s="200">
        <v>2.8999999999999915E-2</v>
      </c>
      <c r="D20" s="72">
        <f>ROUND(D21*(1+C21),3)</f>
        <v>1.024</v>
      </c>
      <c r="E20" s="72">
        <f t="shared" si="2"/>
        <v>1.032</v>
      </c>
      <c r="F20" s="72">
        <f t="shared" si="4"/>
        <v>1.0589999999999999</v>
      </c>
      <c r="G20" s="72">
        <f t="shared" si="3"/>
        <v>1.093</v>
      </c>
      <c r="O20" s="145"/>
      <c r="P20" s="201"/>
    </row>
    <row r="21" spans="1:16" x14ac:dyDescent="0.4">
      <c r="A21" s="259">
        <f>YEAR(DZ_INPUTS!B3)</f>
        <v>2020</v>
      </c>
      <c r="B21" s="259"/>
      <c r="C21" s="200">
        <v>2.4000000000000021E-2</v>
      </c>
      <c r="D21" s="67">
        <v>1</v>
      </c>
      <c r="E21" s="72">
        <f>ROUND((D21*$L$14)+(D20*$L$13),3)</f>
        <v>1.006</v>
      </c>
      <c r="F21" s="72">
        <f t="shared" si="4"/>
        <v>1.0589999999999999</v>
      </c>
      <c r="G21" s="72">
        <f>ROUND(E21*F21,3)</f>
        <v>1.0649999999999999</v>
      </c>
      <c r="O21" s="145"/>
      <c r="P21" s="201"/>
    </row>
    <row r="22" spans="1:16" x14ac:dyDescent="0.4">
      <c r="O22" s="145"/>
      <c r="P22" s="201"/>
    </row>
    <row r="23" spans="1:16" x14ac:dyDescent="0.4">
      <c r="B23" s="260" t="s">
        <v>139</v>
      </c>
      <c r="C23" s="260"/>
      <c r="D23" s="260"/>
      <c r="E23" s="260"/>
      <c r="F23" s="260"/>
      <c r="G23" s="260"/>
      <c r="O23" s="145"/>
      <c r="P23" s="201"/>
    </row>
    <row r="24" spans="1:16" x14ac:dyDescent="0.4">
      <c r="O24" s="145"/>
      <c r="P24" s="201"/>
    </row>
    <row r="25" spans="1:16" x14ac:dyDescent="0.4">
      <c r="B25" s="133"/>
      <c r="C25" s="132" t="s">
        <v>232</v>
      </c>
      <c r="D25" s="132" t="s">
        <v>234</v>
      </c>
      <c r="E25" s="132" t="s">
        <v>236</v>
      </c>
      <c r="F25" s="132" t="s">
        <v>238</v>
      </c>
      <c r="G25" s="132" t="s">
        <v>251</v>
      </c>
      <c r="O25" s="145"/>
      <c r="P25" s="201"/>
    </row>
    <row r="26" spans="1:16" x14ac:dyDescent="0.4">
      <c r="B26" s="133"/>
      <c r="C26" s="133" t="s">
        <v>370</v>
      </c>
      <c r="D26" s="133" t="s">
        <v>538</v>
      </c>
      <c r="E26" s="133" t="s">
        <v>539</v>
      </c>
      <c r="F26" s="133"/>
      <c r="G26" s="133" t="s">
        <v>540</v>
      </c>
      <c r="O26" s="145"/>
      <c r="P26" s="201"/>
    </row>
    <row r="27" spans="1:16" x14ac:dyDescent="0.4">
      <c r="B27" s="133"/>
      <c r="C27" s="133" t="s">
        <v>542</v>
      </c>
      <c r="D27" s="133" t="s">
        <v>542</v>
      </c>
      <c r="E27" s="133" t="s">
        <v>542</v>
      </c>
      <c r="F27" s="133" t="s">
        <v>543</v>
      </c>
      <c r="G27" s="133" t="s">
        <v>284</v>
      </c>
      <c r="O27" s="145"/>
      <c r="P27" s="201"/>
    </row>
    <row r="28" spans="1:16" x14ac:dyDescent="0.4">
      <c r="A28" s="260" t="s">
        <v>109</v>
      </c>
      <c r="B28" s="260"/>
      <c r="C28" s="136" t="s">
        <v>545</v>
      </c>
      <c r="D28" s="136" t="s">
        <v>546</v>
      </c>
      <c r="E28" s="136" t="s">
        <v>547</v>
      </c>
      <c r="F28" s="136" t="s">
        <v>290</v>
      </c>
      <c r="G28" s="136" t="s">
        <v>547</v>
      </c>
    </row>
    <row r="29" spans="1:16" x14ac:dyDescent="0.4">
      <c r="A29" s="258"/>
      <c r="B29" s="258"/>
    </row>
    <row r="30" spans="1:16" x14ac:dyDescent="0.4">
      <c r="A30" s="259">
        <f>A16</f>
        <v>2015</v>
      </c>
      <c r="B30" s="259"/>
      <c r="C30" s="200">
        <v>1.8999999999999906E-2</v>
      </c>
      <c r="D30" s="72">
        <f t="shared" ref="D30:D33" si="5">ROUND(D31*(1+C31),3)</f>
        <v>1.101</v>
      </c>
      <c r="E30" s="72"/>
      <c r="F30" s="72"/>
      <c r="G30" s="72"/>
    </row>
    <row r="31" spans="1:16" x14ac:dyDescent="0.4">
      <c r="A31" s="259">
        <f t="shared" ref="A31:A35" si="6">A17</f>
        <v>2016</v>
      </c>
      <c r="B31" s="259"/>
      <c r="C31" s="200">
        <v>1.8000000000000016E-2</v>
      </c>
      <c r="D31" s="72">
        <f t="shared" si="5"/>
        <v>1.0820000000000001</v>
      </c>
      <c r="E31" s="72">
        <f t="shared" ref="E31:E34" si="7">ROUND((D31*$L$14)+(D30*$L$13),3)</f>
        <v>1.087</v>
      </c>
      <c r="F31" s="72">
        <f>ROUND((1+$C$35)^($L$18/12),3)</f>
        <v>1.052</v>
      </c>
      <c r="G31" s="72">
        <f t="shared" ref="G31:G35" si="8">ROUND(E31*F31,3)</f>
        <v>1.1439999999999999</v>
      </c>
    </row>
    <row r="32" spans="1:16" x14ac:dyDescent="0.4">
      <c r="A32" s="259">
        <f t="shared" si="6"/>
        <v>2017</v>
      </c>
      <c r="B32" s="259"/>
      <c r="C32" s="200">
        <v>1.8000000000000016E-2</v>
      </c>
      <c r="D32" s="72">
        <f t="shared" si="5"/>
        <v>1.0629999999999999</v>
      </c>
      <c r="E32" s="72">
        <f t="shared" si="7"/>
        <v>1.0680000000000001</v>
      </c>
      <c r="F32" s="72">
        <f t="shared" ref="F32:F35" si="9">ROUND((1+$C$35)^($L$18/12),3)</f>
        <v>1.052</v>
      </c>
      <c r="G32" s="72">
        <f t="shared" si="8"/>
        <v>1.1240000000000001</v>
      </c>
    </row>
    <row r="33" spans="1:7" x14ac:dyDescent="0.4">
      <c r="A33" s="259">
        <f t="shared" si="6"/>
        <v>2018</v>
      </c>
      <c r="B33" s="259"/>
      <c r="C33" s="200">
        <v>1.8999999999999906E-2</v>
      </c>
      <c r="D33" s="72">
        <f t="shared" si="5"/>
        <v>1.0429999999999999</v>
      </c>
      <c r="E33" s="72">
        <f t="shared" si="7"/>
        <v>1.048</v>
      </c>
      <c r="F33" s="72">
        <f t="shared" si="9"/>
        <v>1.052</v>
      </c>
      <c r="G33" s="72">
        <f t="shared" si="8"/>
        <v>1.1020000000000001</v>
      </c>
    </row>
    <row r="34" spans="1:7" x14ac:dyDescent="0.4">
      <c r="A34" s="259">
        <f t="shared" si="6"/>
        <v>2019</v>
      </c>
      <c r="B34" s="259"/>
      <c r="C34" s="200">
        <v>2.200000000000002E-2</v>
      </c>
      <c r="D34" s="72">
        <f>ROUND(D35*(1+C35),3)</f>
        <v>1.0209999999999999</v>
      </c>
      <c r="E34" s="72">
        <f t="shared" si="7"/>
        <v>1.0269999999999999</v>
      </c>
      <c r="F34" s="72">
        <f t="shared" si="9"/>
        <v>1.052</v>
      </c>
      <c r="G34" s="72">
        <f t="shared" si="8"/>
        <v>1.08</v>
      </c>
    </row>
    <row r="35" spans="1:7" x14ac:dyDescent="0.4">
      <c r="A35" s="259">
        <f t="shared" si="6"/>
        <v>2020</v>
      </c>
      <c r="B35" s="259"/>
      <c r="C35" s="200">
        <v>2.0999999999999908E-2</v>
      </c>
      <c r="D35" s="67">
        <v>1</v>
      </c>
      <c r="E35" s="72">
        <f>ROUND((D35*$L$14)+(D34*$L$13),3)</f>
        <v>1.0049999999999999</v>
      </c>
      <c r="F35" s="72">
        <f t="shared" si="9"/>
        <v>1.052</v>
      </c>
      <c r="G35" s="72">
        <f t="shared" si="8"/>
        <v>1.0569999999999999</v>
      </c>
    </row>
    <row r="37" spans="1:7" x14ac:dyDescent="0.4">
      <c r="C37" s="273" t="s">
        <v>164</v>
      </c>
      <c r="D37" s="273"/>
      <c r="F37" s="273" t="s">
        <v>165</v>
      </c>
      <c r="G37" s="273"/>
    </row>
    <row r="38" spans="1:7" x14ac:dyDescent="0.4">
      <c r="E38" s="136"/>
    </row>
    <row r="39" spans="1:7" x14ac:dyDescent="0.4">
      <c r="C39" s="132" t="s">
        <v>364</v>
      </c>
      <c r="D39" s="132" t="s">
        <v>365</v>
      </c>
      <c r="F39" s="132" t="s">
        <v>552</v>
      </c>
      <c r="G39" s="132" t="s">
        <v>553</v>
      </c>
    </row>
    <row r="40" spans="1:7" x14ac:dyDescent="0.4">
      <c r="C40" s="136"/>
      <c r="D40" s="133" t="s">
        <v>540</v>
      </c>
      <c r="F40" s="136"/>
      <c r="G40" s="133" t="s">
        <v>540</v>
      </c>
    </row>
    <row r="41" spans="1:7" x14ac:dyDescent="0.4">
      <c r="C41" s="133" t="s">
        <v>554</v>
      </c>
      <c r="D41" s="133" t="s">
        <v>284</v>
      </c>
      <c r="F41" s="133" t="s">
        <v>554</v>
      </c>
      <c r="G41" s="133" t="s">
        <v>284</v>
      </c>
    </row>
    <row r="42" spans="1:7" x14ac:dyDescent="0.4">
      <c r="A42" s="260" t="s">
        <v>109</v>
      </c>
      <c r="B42" s="260"/>
      <c r="C42" s="136" t="s">
        <v>555</v>
      </c>
      <c r="D42" s="136" t="s">
        <v>547</v>
      </c>
      <c r="E42" s="136" t="s">
        <v>109</v>
      </c>
      <c r="F42" s="136" t="s">
        <v>555</v>
      </c>
      <c r="G42" s="136" t="s">
        <v>547</v>
      </c>
    </row>
    <row r="43" spans="1:7" x14ac:dyDescent="0.4">
      <c r="A43" s="136"/>
      <c r="B43" s="136"/>
      <c r="C43" s="136"/>
      <c r="D43" s="136"/>
      <c r="E43" s="136"/>
      <c r="F43" s="136"/>
      <c r="G43" s="136"/>
    </row>
    <row r="44" spans="1:7" x14ac:dyDescent="0.4">
      <c r="A44" s="259">
        <f>A31</f>
        <v>2016</v>
      </c>
      <c r="B44" s="259"/>
      <c r="C44" s="204">
        <v>2.0999999999999908E-2</v>
      </c>
      <c r="D44" s="72">
        <f>ROUND((1+C44)^(($L$18+48)/12),3)</f>
        <v>1.143</v>
      </c>
      <c r="E44" s="133">
        <f>A44</f>
        <v>2016</v>
      </c>
      <c r="F44" s="204">
        <v>1.6000000000000014E-2</v>
      </c>
      <c r="G44" s="72">
        <f>ROUND((1+F44)^(($L$18+48)/12),3)</f>
        <v>1.107</v>
      </c>
    </row>
    <row r="45" spans="1:7" x14ac:dyDescent="0.4">
      <c r="A45" s="259">
        <f>A32</f>
        <v>2017</v>
      </c>
      <c r="B45" s="259"/>
      <c r="C45" s="204">
        <f>$C$44</f>
        <v>2.0999999999999908E-2</v>
      </c>
      <c r="D45" s="72">
        <f>ROUND((1+C45)^(($L$18+36)/12),3)</f>
        <v>1.119</v>
      </c>
      <c r="E45" s="133">
        <f>A45</f>
        <v>2017</v>
      </c>
      <c r="F45" s="205">
        <f>$F$44</f>
        <v>1.6000000000000014E-2</v>
      </c>
      <c r="G45" s="72">
        <f>ROUND((1+F45)^(($L$18+36)/12),3)</f>
        <v>1.0900000000000001</v>
      </c>
    </row>
    <row r="46" spans="1:7" x14ac:dyDescent="0.4">
      <c r="A46" s="259">
        <f>A33</f>
        <v>2018</v>
      </c>
      <c r="B46" s="259"/>
      <c r="C46" s="204">
        <f t="shared" ref="C46:C48" si="10">$C$44</f>
        <v>2.0999999999999908E-2</v>
      </c>
      <c r="D46" s="72">
        <f>ROUND((1+C46)^(($L$18+24)/12),3)</f>
        <v>1.0960000000000001</v>
      </c>
      <c r="E46" s="133">
        <f>A46</f>
        <v>2018</v>
      </c>
      <c r="F46" s="205">
        <f t="shared" ref="F46:F48" si="11">$F$44</f>
        <v>1.6000000000000014E-2</v>
      </c>
      <c r="G46" s="72">
        <f>ROUND((1+F46)^(($L$18+24)/12),3)</f>
        <v>1.073</v>
      </c>
    </row>
    <row r="47" spans="1:7" x14ac:dyDescent="0.4">
      <c r="A47" s="259">
        <f>A34</f>
        <v>2019</v>
      </c>
      <c r="B47" s="259"/>
      <c r="C47" s="204">
        <f t="shared" si="10"/>
        <v>2.0999999999999908E-2</v>
      </c>
      <c r="D47" s="72">
        <f>ROUND((1+C47)^(($L$18+12)/12),3)</f>
        <v>1.0740000000000001</v>
      </c>
      <c r="E47" s="133">
        <f>A47</f>
        <v>2019</v>
      </c>
      <c r="F47" s="205">
        <f t="shared" si="11"/>
        <v>1.6000000000000014E-2</v>
      </c>
      <c r="G47" s="72">
        <f>ROUND((1+F47)^(($L$18+12)/12),3)</f>
        <v>1.056</v>
      </c>
    </row>
    <row r="48" spans="1:7" x14ac:dyDescent="0.4">
      <c r="A48" s="259">
        <f>A35</f>
        <v>2020</v>
      </c>
      <c r="B48" s="259"/>
      <c r="C48" s="204">
        <f t="shared" si="10"/>
        <v>2.0999999999999908E-2</v>
      </c>
      <c r="D48" s="72">
        <f>ROUND((1+C48)^(($L$18+0)/12),3)</f>
        <v>1.052</v>
      </c>
      <c r="E48" s="133">
        <f>A48</f>
        <v>2020</v>
      </c>
      <c r="F48" s="205">
        <f t="shared" si="11"/>
        <v>1.6000000000000014E-2</v>
      </c>
      <c r="G48" s="72">
        <f>ROUND((1+F48)^(($L$18+0)/12),3)</f>
        <v>1.0389999999999999</v>
      </c>
    </row>
    <row r="50" spans="2:2" x14ac:dyDescent="0.4">
      <c r="B50" s="137" t="s">
        <v>556</v>
      </c>
    </row>
    <row r="51" spans="2:2" x14ac:dyDescent="0.4">
      <c r="B51" s="137" t="s">
        <v>557</v>
      </c>
    </row>
  </sheetData>
  <mergeCells count="35">
    <mergeCell ref="A44:B44"/>
    <mergeCell ref="A45:B45"/>
    <mergeCell ref="A46:B46"/>
    <mergeCell ref="A47:B47"/>
    <mergeCell ref="A48:B48"/>
    <mergeCell ref="A42:B42"/>
    <mergeCell ref="B23:G23"/>
    <mergeCell ref="A28:B28"/>
    <mergeCell ref="A29:B29"/>
    <mergeCell ref="A30:B30"/>
    <mergeCell ref="A31:B31"/>
    <mergeCell ref="A32:B32"/>
    <mergeCell ref="A33:B33"/>
    <mergeCell ref="A34:B34"/>
    <mergeCell ref="A35:B35"/>
    <mergeCell ref="C37:D37"/>
    <mergeCell ref="F37:G37"/>
    <mergeCell ref="A21:B21"/>
    <mergeCell ref="B7:G7"/>
    <mergeCell ref="B8:G8"/>
    <mergeCell ref="B9:G9"/>
    <mergeCell ref="A13:B13"/>
    <mergeCell ref="A14:B14"/>
    <mergeCell ref="A15:B15"/>
    <mergeCell ref="A16:B16"/>
    <mergeCell ref="A17:B17"/>
    <mergeCell ref="A18:B18"/>
    <mergeCell ref="A19:B19"/>
    <mergeCell ref="A20:B20"/>
    <mergeCell ref="B6:G6"/>
    <mergeCell ref="B1:G1"/>
    <mergeCell ref="B2:G2"/>
    <mergeCell ref="B3:G3"/>
    <mergeCell ref="B4:G4"/>
    <mergeCell ref="B5:G5"/>
  </mergeCells>
  <printOptions horizontalCentered="1"/>
  <pageMargins left="0.25" right="0.25" top="0.75" bottom="0.75" header="0.3" footer="0.3"/>
  <pageSetup scale="98" firstPageNumber="0" orientation="portrait" useFirstPageNumber="1" r:id="rId1"/>
  <headerFooter>
    <oddHeader>&amp;L&amp;"Times New Roman"&amp;9INSURANCE SERVICES OFFICE, INC.</oddHeader>
    <oddFooter>&amp;C&amp;"Times New Roman"&amp;9© Insurance Services Office, Inc., 2022        		OREGON        BP-2021-RLA1&amp;R&amp;"Times New Roman"&amp;9&amp;A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CDE6DA-09A3-4FB2-ACA3-2C856412CA7B}">
  <sheetPr>
    <pageSetUpPr fitToPage="1"/>
  </sheetPr>
  <dimension ref="A1:F18"/>
  <sheetViews>
    <sheetView workbookViewId="0">
      <selection sqref="A1:F1"/>
    </sheetView>
  </sheetViews>
  <sheetFormatPr defaultColWidth="9.1328125" defaultRowHeight="12.75" x14ac:dyDescent="0.35"/>
  <cols>
    <col min="1" max="1" width="9.1328125" style="206"/>
    <col min="2" max="2" width="30.73046875" style="219" customWidth="1"/>
    <col min="3" max="16384" width="9.1328125" style="206"/>
  </cols>
  <sheetData>
    <row r="1" spans="1:6" ht="13.15" x14ac:dyDescent="0.4">
      <c r="A1" s="274" t="str">
        <f>UPPER(state)</f>
        <v>OREGON</v>
      </c>
      <c r="B1" s="274"/>
      <c r="C1" s="274"/>
      <c r="D1" s="274"/>
      <c r="E1" s="274"/>
      <c r="F1" s="274"/>
    </row>
    <row r="2" spans="1:6" ht="13.15" x14ac:dyDescent="0.4">
      <c r="A2" s="207"/>
      <c r="B2" s="207"/>
      <c r="C2" s="207"/>
      <c r="D2" s="207"/>
      <c r="E2" s="207"/>
      <c r="F2" s="207"/>
    </row>
    <row r="3" spans="1:6" ht="13.15" x14ac:dyDescent="0.4">
      <c r="A3" s="274" t="s">
        <v>153</v>
      </c>
      <c r="B3" s="274"/>
      <c r="C3" s="274"/>
      <c r="D3" s="274"/>
      <c r="E3" s="274"/>
      <c r="F3" s="274"/>
    </row>
    <row r="4" spans="1:6" ht="13.15" x14ac:dyDescent="0.4">
      <c r="A4" s="207"/>
      <c r="B4" s="207"/>
      <c r="C4" s="207"/>
      <c r="D4" s="207"/>
      <c r="E4" s="207"/>
      <c r="F4" s="207"/>
    </row>
    <row r="5" spans="1:6" ht="13.15" x14ac:dyDescent="0.4">
      <c r="A5" s="274" t="s">
        <v>558</v>
      </c>
      <c r="B5" s="274"/>
      <c r="C5" s="274"/>
      <c r="D5" s="274"/>
      <c r="E5" s="274"/>
      <c r="F5" s="274"/>
    </row>
    <row r="6" spans="1:6" ht="13.15" x14ac:dyDescent="0.4">
      <c r="A6" s="207"/>
      <c r="B6" s="207"/>
      <c r="C6" s="207"/>
      <c r="D6" s="207"/>
      <c r="E6" s="207"/>
      <c r="F6" s="207"/>
    </row>
    <row r="7" spans="1:6" ht="13.15" x14ac:dyDescent="0.4">
      <c r="A7" s="274" t="s">
        <v>559</v>
      </c>
      <c r="B7" s="274"/>
      <c r="C7" s="274"/>
      <c r="D7" s="274"/>
      <c r="E7" s="274"/>
      <c r="F7" s="274"/>
    </row>
    <row r="8" spans="1:6" ht="13.15" x14ac:dyDescent="0.4">
      <c r="A8" s="207"/>
      <c r="B8" s="207"/>
      <c r="C8" s="207"/>
      <c r="D8" s="207"/>
      <c r="E8" s="207"/>
      <c r="F8" s="207"/>
    </row>
    <row r="9" spans="1:6" ht="13.15" x14ac:dyDescent="0.4">
      <c r="A9" s="207"/>
      <c r="B9" s="207"/>
      <c r="C9" s="208" t="s">
        <v>156</v>
      </c>
      <c r="D9" s="208" t="s">
        <v>156</v>
      </c>
      <c r="E9" s="208" t="s">
        <v>246</v>
      </c>
      <c r="F9" s="208" t="s">
        <v>246</v>
      </c>
    </row>
    <row r="10" spans="1:6" ht="26.25" x14ac:dyDescent="0.4">
      <c r="A10" s="207"/>
      <c r="B10" s="207"/>
      <c r="C10" s="209" t="s">
        <v>197</v>
      </c>
      <c r="D10" s="209" t="s">
        <v>560</v>
      </c>
      <c r="E10" s="209" t="s">
        <v>164</v>
      </c>
      <c r="F10" s="209" t="s">
        <v>165</v>
      </c>
    </row>
    <row r="11" spans="1:6" ht="26.25" x14ac:dyDescent="0.4">
      <c r="A11" s="210" t="s">
        <v>206</v>
      </c>
      <c r="B11" s="207" t="s">
        <v>561</v>
      </c>
      <c r="C11" s="211">
        <v>1537</v>
      </c>
      <c r="D11" s="211">
        <v>1537</v>
      </c>
      <c r="E11" s="211">
        <v>1537</v>
      </c>
      <c r="F11" s="211">
        <v>1537</v>
      </c>
    </row>
    <row r="12" spans="1:6" ht="13.15" x14ac:dyDescent="0.4">
      <c r="A12" s="210" t="s">
        <v>207</v>
      </c>
      <c r="B12" s="207" t="s">
        <v>562</v>
      </c>
      <c r="C12" s="212">
        <v>5.6</v>
      </c>
      <c r="D12" s="213">
        <v>3.0470000000000002</v>
      </c>
      <c r="E12" s="213">
        <v>3.75</v>
      </c>
      <c r="F12" s="213">
        <v>2.81</v>
      </c>
    </row>
    <row r="13" spans="1:6" ht="26.25" x14ac:dyDescent="0.4">
      <c r="A13" s="210" t="s">
        <v>208</v>
      </c>
      <c r="B13" s="207" t="s">
        <v>563</v>
      </c>
      <c r="C13" s="214">
        <f>ROUND(C11*C12,0)</f>
        <v>8607</v>
      </c>
      <c r="D13" s="214">
        <f t="shared" ref="D13:F13" si="0">ROUND(D11*D12,0)</f>
        <v>4683</v>
      </c>
      <c r="E13" s="214">
        <f t="shared" si="0"/>
        <v>5764</v>
      </c>
      <c r="F13" s="214">
        <f t="shared" si="0"/>
        <v>4319</v>
      </c>
    </row>
    <row r="14" spans="1:6" ht="26.25" x14ac:dyDescent="0.4">
      <c r="A14" s="210" t="s">
        <v>227</v>
      </c>
      <c r="B14" s="207" t="s">
        <v>564</v>
      </c>
      <c r="C14" s="211">
        <v>8600</v>
      </c>
      <c r="D14" s="211">
        <v>4700</v>
      </c>
      <c r="E14" s="211">
        <v>5800</v>
      </c>
      <c r="F14" s="211">
        <v>4300</v>
      </c>
    </row>
    <row r="15" spans="1:6" ht="26.25" x14ac:dyDescent="0.4">
      <c r="A15" s="210" t="s">
        <v>230</v>
      </c>
      <c r="B15" s="207" t="s">
        <v>565</v>
      </c>
      <c r="C15" s="215">
        <v>53</v>
      </c>
      <c r="D15" s="216">
        <v>138.69999999999999</v>
      </c>
      <c r="E15" s="216">
        <v>15</v>
      </c>
      <c r="F15" s="216">
        <v>52</v>
      </c>
    </row>
    <row r="16" spans="1:6" ht="26.25" x14ac:dyDescent="0.4">
      <c r="A16" s="210" t="s">
        <v>232</v>
      </c>
      <c r="B16" s="207" t="s">
        <v>566</v>
      </c>
      <c r="C16" s="214">
        <f>ROUND(C14*C15,0)</f>
        <v>455800</v>
      </c>
      <c r="D16" s="214">
        <f t="shared" ref="D16:F16" si="1">ROUND(D14*D15,0)</f>
        <v>651890</v>
      </c>
      <c r="E16" s="214">
        <f t="shared" si="1"/>
        <v>87000</v>
      </c>
      <c r="F16" s="214">
        <f t="shared" si="1"/>
        <v>223600</v>
      </c>
    </row>
    <row r="17" spans="1:6" ht="13.15" x14ac:dyDescent="0.4">
      <c r="A17" s="210" t="s">
        <v>234</v>
      </c>
      <c r="B17" s="207" t="s">
        <v>567</v>
      </c>
      <c r="C17" s="217">
        <v>172288</v>
      </c>
      <c r="D17" s="217">
        <v>96857</v>
      </c>
      <c r="E17" s="211">
        <v>247061.00000087</v>
      </c>
      <c r="F17" s="211">
        <v>415979.16666589305</v>
      </c>
    </row>
    <row r="18" spans="1:6" ht="15" x14ac:dyDescent="0.4">
      <c r="A18" s="210" t="s">
        <v>236</v>
      </c>
      <c r="B18" s="207" t="s">
        <v>568</v>
      </c>
      <c r="C18" s="218">
        <f>IF(ROUND((C17/C16)^0.5,3)&gt;1,1,ROUND((C17/C16)^0.5,3))</f>
        <v>0.61499999999999999</v>
      </c>
      <c r="D18" s="218">
        <f>IF(ROUND((D17/D16)^0.5,3)&gt;1,1,ROUND((D17/D16)^0.5,3))</f>
        <v>0.38500000000000001</v>
      </c>
      <c r="E18" s="218">
        <f>IF(ROUND((E17/E16)^0.5,3)&gt;1,1,ROUND((E17/E16)^0.5,3))</f>
        <v>1</v>
      </c>
      <c r="F18" s="218">
        <f>IF(ROUND((F17/F16)^0.5,3)&gt;1,1,ROUND((F17/F16)^0.5,3))</f>
        <v>1</v>
      </c>
    </row>
  </sheetData>
  <mergeCells count="4">
    <mergeCell ref="A1:F1"/>
    <mergeCell ref="A3:F3"/>
    <mergeCell ref="A5:F5"/>
    <mergeCell ref="A7:F7"/>
  </mergeCells>
  <printOptions horizontalCentered="1"/>
  <pageMargins left="0.25" right="0.25" top="0.75" bottom="0.75" header="0.3" footer="0.3"/>
  <pageSetup firstPageNumber="0" orientation="portrait" useFirstPageNumber="1" r:id="rId1"/>
  <headerFooter>
    <oddHeader>&amp;L&amp;"Times New Roman"&amp;9INSURANCE SERVICES OFFICE, INC.</oddHeader>
    <oddFooter>&amp;C&amp;"Times New Roman"&amp;9© Insurance Services Office, Inc., 2022        		OREGON        BP-2021-RLA1&amp;R&amp;"Times New Roman"&amp;9&amp;A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4C1A4-CAAC-4654-A6A6-7DD8854F3E16}">
  <sheetPr>
    <pageSetUpPr fitToPage="1"/>
  </sheetPr>
  <dimension ref="A1:H45"/>
  <sheetViews>
    <sheetView workbookViewId="0">
      <selection sqref="A1:G1"/>
    </sheetView>
  </sheetViews>
  <sheetFormatPr defaultColWidth="9.1328125" defaultRowHeight="13.15" x14ac:dyDescent="0.4"/>
  <cols>
    <col min="1" max="1" width="18.86328125" style="2" customWidth="1"/>
    <col min="2" max="7" width="9.1328125" style="2"/>
    <col min="8" max="8" width="12.73046875" style="2" bestFit="1" customWidth="1"/>
    <col min="9" max="16384" width="9.1328125" style="2"/>
  </cols>
  <sheetData>
    <row r="1" spans="1:7" x14ac:dyDescent="0.4">
      <c r="A1" s="241" t="str">
        <f>UPPER(state)</f>
        <v>OREGON</v>
      </c>
      <c r="B1" s="241"/>
      <c r="C1" s="241"/>
      <c r="D1" s="241"/>
      <c r="E1" s="241"/>
      <c r="F1" s="241"/>
      <c r="G1" s="241"/>
    </row>
    <row r="3" spans="1:7" x14ac:dyDescent="0.4">
      <c r="A3" s="241" t="s">
        <v>153</v>
      </c>
      <c r="B3" s="241"/>
      <c r="C3" s="241"/>
      <c r="D3" s="241"/>
      <c r="E3" s="241"/>
      <c r="F3" s="241"/>
      <c r="G3" s="241"/>
    </row>
    <row r="5" spans="1:7" x14ac:dyDescent="0.4">
      <c r="A5" s="241" t="s">
        <v>569</v>
      </c>
      <c r="B5" s="241"/>
      <c r="C5" s="241"/>
      <c r="D5" s="241"/>
      <c r="E5" s="241"/>
      <c r="F5" s="241"/>
      <c r="G5" s="241"/>
    </row>
    <row r="7" spans="1:7" x14ac:dyDescent="0.4">
      <c r="A7" s="241" t="s">
        <v>570</v>
      </c>
      <c r="B7" s="241"/>
      <c r="C7" s="241"/>
      <c r="D7" s="241"/>
      <c r="E7" s="241"/>
      <c r="F7" s="241"/>
      <c r="G7" s="241"/>
    </row>
    <row r="8" spans="1:7" x14ac:dyDescent="0.4">
      <c r="A8" s="241" t="s">
        <v>571</v>
      </c>
      <c r="B8" s="241"/>
      <c r="C8" s="241"/>
      <c r="D8" s="241"/>
      <c r="E8" s="241"/>
      <c r="F8" s="241"/>
      <c r="G8" s="241"/>
    </row>
    <row r="9" spans="1:7" x14ac:dyDescent="0.4">
      <c r="A9" s="241" t="s">
        <v>572</v>
      </c>
      <c r="B9" s="241"/>
      <c r="C9" s="241"/>
      <c r="D9" s="241"/>
      <c r="E9" s="241"/>
      <c r="F9" s="241"/>
      <c r="G9" s="241"/>
    </row>
    <row r="11" spans="1:7" x14ac:dyDescent="0.4">
      <c r="C11" s="52">
        <v>2015</v>
      </c>
      <c r="D11" s="52">
        <v>2016</v>
      </c>
      <c r="E11" s="52">
        <v>2017</v>
      </c>
      <c r="F11" s="52">
        <v>2018</v>
      </c>
      <c r="G11" s="52">
        <v>2019</v>
      </c>
    </row>
    <row r="12" spans="1:7" x14ac:dyDescent="0.4">
      <c r="A12" s="2" t="s">
        <v>573</v>
      </c>
    </row>
    <row r="13" spans="1:7" x14ac:dyDescent="0.4">
      <c r="A13" s="61" t="s">
        <v>574</v>
      </c>
      <c r="B13" s="2" t="s">
        <v>575</v>
      </c>
      <c r="C13" s="220">
        <v>4300636</v>
      </c>
      <c r="D13" s="220">
        <v>4583779</v>
      </c>
      <c r="E13" s="220">
        <v>6300103</v>
      </c>
      <c r="F13" s="220">
        <v>6871205</v>
      </c>
      <c r="G13" s="220">
        <v>6067394</v>
      </c>
    </row>
    <row r="14" spans="1:7" x14ac:dyDescent="0.4">
      <c r="A14" s="61" t="s">
        <v>576</v>
      </c>
      <c r="B14" s="2" t="s">
        <v>577</v>
      </c>
      <c r="C14" s="220">
        <v>1153010</v>
      </c>
      <c r="D14" s="220">
        <v>1067719</v>
      </c>
      <c r="E14" s="220">
        <v>1443709</v>
      </c>
      <c r="F14" s="220">
        <v>1643916</v>
      </c>
      <c r="G14" s="220">
        <v>1355525</v>
      </c>
    </row>
    <row r="15" spans="1:7" x14ac:dyDescent="0.4">
      <c r="B15" s="2" t="s">
        <v>578</v>
      </c>
      <c r="C15" s="221">
        <f>SUM(C13:C14)</f>
        <v>5453646</v>
      </c>
      <c r="D15" s="221">
        <f t="shared" ref="D15:G15" si="0">SUM(D13:D14)</f>
        <v>5651498</v>
      </c>
      <c r="E15" s="221">
        <f t="shared" si="0"/>
        <v>7743812</v>
      </c>
      <c r="F15" s="221">
        <f t="shared" si="0"/>
        <v>8515121</v>
      </c>
      <c r="G15" s="221">
        <f t="shared" si="0"/>
        <v>7422919</v>
      </c>
    </row>
    <row r="17" spans="1:8" x14ac:dyDescent="0.4">
      <c r="A17" s="61" t="s">
        <v>579</v>
      </c>
      <c r="B17" s="2" t="s">
        <v>575</v>
      </c>
      <c r="C17" s="220">
        <v>441650</v>
      </c>
      <c r="D17" s="220">
        <v>474067.29499999998</v>
      </c>
      <c r="E17" s="220">
        <v>588172</v>
      </c>
      <c r="F17" s="220">
        <v>598497.65599999996</v>
      </c>
      <c r="G17" s="220">
        <v>576226</v>
      </c>
    </row>
    <row r="18" spans="1:8" x14ac:dyDescent="0.4">
      <c r="A18" s="61" t="s">
        <v>580</v>
      </c>
      <c r="B18" s="2" t="s">
        <v>577</v>
      </c>
      <c r="C18" s="220">
        <v>79987</v>
      </c>
      <c r="D18" s="220">
        <v>68922</v>
      </c>
      <c r="E18" s="220">
        <v>103251</v>
      </c>
      <c r="F18" s="220">
        <v>69374</v>
      </c>
      <c r="G18" s="220">
        <v>103689</v>
      </c>
    </row>
    <row r="19" spans="1:8" x14ac:dyDescent="0.4">
      <c r="A19" s="61" t="s">
        <v>581</v>
      </c>
      <c r="B19" s="2" t="s">
        <v>578</v>
      </c>
      <c r="C19" s="221">
        <f>SUM(C17:C18)</f>
        <v>521637</v>
      </c>
      <c r="D19" s="221">
        <f t="shared" ref="D19:G19" si="1">SUM(D17:D18)</f>
        <v>542989.29499999993</v>
      </c>
      <c r="E19" s="221">
        <f t="shared" si="1"/>
        <v>691423</v>
      </c>
      <c r="F19" s="221">
        <f t="shared" si="1"/>
        <v>667871.65599999996</v>
      </c>
      <c r="G19" s="221">
        <f t="shared" si="1"/>
        <v>679915</v>
      </c>
    </row>
    <row r="21" spans="1:8" x14ac:dyDescent="0.4">
      <c r="A21" s="2" t="s">
        <v>582</v>
      </c>
    </row>
    <row r="22" spans="1:8" x14ac:dyDescent="0.4">
      <c r="A22" s="61" t="s">
        <v>574</v>
      </c>
      <c r="B22" s="2" t="s">
        <v>575</v>
      </c>
      <c r="C22" s="220">
        <v>3556298</v>
      </c>
      <c r="D22" s="220">
        <v>5009396</v>
      </c>
      <c r="E22" s="220">
        <v>14673977</v>
      </c>
      <c r="F22" s="220">
        <v>8395461</v>
      </c>
      <c r="G22" s="220">
        <v>6259321</v>
      </c>
    </row>
    <row r="23" spans="1:8" x14ac:dyDescent="0.4">
      <c r="A23" s="61" t="s">
        <v>576</v>
      </c>
      <c r="B23" s="2" t="s">
        <v>577</v>
      </c>
      <c r="C23" s="220">
        <v>1223360</v>
      </c>
      <c r="D23" s="220">
        <v>1407474</v>
      </c>
      <c r="E23" s="220">
        <v>3267136</v>
      </c>
      <c r="F23" s="220">
        <v>1949407</v>
      </c>
      <c r="G23" s="220">
        <v>1358205</v>
      </c>
    </row>
    <row r="24" spans="1:8" x14ac:dyDescent="0.4">
      <c r="B24" s="2" t="s">
        <v>578</v>
      </c>
      <c r="C24" s="221">
        <f>SUM(C22:C23)</f>
        <v>4779658</v>
      </c>
      <c r="D24" s="221">
        <f t="shared" ref="D24:G24" si="2">SUM(D22:D23)</f>
        <v>6416870</v>
      </c>
      <c r="E24" s="221">
        <f t="shared" si="2"/>
        <v>17941113</v>
      </c>
      <c r="F24" s="221">
        <f t="shared" si="2"/>
        <v>10344868</v>
      </c>
      <c r="G24" s="221">
        <f t="shared" si="2"/>
        <v>7617526</v>
      </c>
    </row>
    <row r="26" spans="1:8" x14ac:dyDescent="0.4">
      <c r="A26" s="61" t="s">
        <v>579</v>
      </c>
      <c r="B26" s="2" t="s">
        <v>575</v>
      </c>
      <c r="C26" s="220">
        <v>530894</v>
      </c>
      <c r="D26" s="220">
        <v>578534</v>
      </c>
      <c r="E26" s="220">
        <v>896226</v>
      </c>
      <c r="F26" s="220">
        <v>856742.52</v>
      </c>
      <c r="G26" s="220">
        <v>861978</v>
      </c>
    </row>
    <row r="27" spans="1:8" x14ac:dyDescent="0.4">
      <c r="A27" s="61" t="s">
        <v>580</v>
      </c>
      <c r="B27" s="2" t="s">
        <v>577</v>
      </c>
      <c r="C27" s="220">
        <v>144966</v>
      </c>
      <c r="D27" s="220">
        <v>160799</v>
      </c>
      <c r="E27" s="220">
        <v>260163</v>
      </c>
      <c r="F27" s="220">
        <v>140190</v>
      </c>
      <c r="G27" s="220">
        <v>111438</v>
      </c>
    </row>
    <row r="28" spans="1:8" x14ac:dyDescent="0.4">
      <c r="A28" s="61" t="s">
        <v>581</v>
      </c>
      <c r="B28" s="2" t="s">
        <v>578</v>
      </c>
      <c r="C28" s="221">
        <f>SUM(C26:C27)</f>
        <v>675860</v>
      </c>
      <c r="D28" s="221">
        <f t="shared" ref="D28:G28" si="3">SUM(D26:D27)</f>
        <v>739333</v>
      </c>
      <c r="E28" s="221">
        <f t="shared" si="3"/>
        <v>1156389</v>
      </c>
      <c r="F28" s="221">
        <f t="shared" si="3"/>
        <v>996932.52</v>
      </c>
      <c r="G28" s="221">
        <f t="shared" si="3"/>
        <v>973416</v>
      </c>
    </row>
    <row r="30" spans="1:8" x14ac:dyDescent="0.4">
      <c r="A30" s="241" t="s">
        <v>583</v>
      </c>
      <c r="B30" s="241"/>
      <c r="C30" s="241"/>
      <c r="D30" s="241"/>
      <c r="E30" s="241"/>
      <c r="F30" s="241"/>
      <c r="G30" s="241"/>
    </row>
    <row r="31" spans="1:8" x14ac:dyDescent="0.4">
      <c r="A31" s="42"/>
      <c r="B31" s="42"/>
      <c r="C31" s="42"/>
      <c r="D31" s="42"/>
      <c r="E31" s="42"/>
      <c r="F31" s="42"/>
      <c r="G31" s="42"/>
    </row>
    <row r="32" spans="1:8" x14ac:dyDescent="0.4">
      <c r="C32" s="52">
        <v>2015</v>
      </c>
      <c r="D32" s="52">
        <v>2016</v>
      </c>
      <c r="E32" s="52">
        <v>2017</v>
      </c>
      <c r="F32" s="52">
        <v>2018</v>
      </c>
      <c r="G32" s="52">
        <v>2019</v>
      </c>
      <c r="H32" s="52" t="s">
        <v>584</v>
      </c>
    </row>
    <row r="33" spans="1:8" x14ac:dyDescent="0.4">
      <c r="A33" s="2" t="s">
        <v>585</v>
      </c>
    </row>
    <row r="34" spans="1:8" x14ac:dyDescent="0.4">
      <c r="A34" s="61" t="s">
        <v>586</v>
      </c>
    </row>
    <row r="35" spans="1:8" x14ac:dyDescent="0.4">
      <c r="A35" s="61" t="s">
        <v>587</v>
      </c>
    </row>
    <row r="36" spans="1:8" x14ac:dyDescent="0.4">
      <c r="A36" s="61" t="s">
        <v>588</v>
      </c>
      <c r="B36" s="2" t="s">
        <v>578</v>
      </c>
      <c r="C36" s="63">
        <f>ROUND(C19/C15,3)</f>
        <v>9.6000000000000002E-2</v>
      </c>
      <c r="D36" s="63">
        <f t="shared" ref="D36:G36" si="4">ROUND(D19/D15,3)</f>
        <v>9.6000000000000002E-2</v>
      </c>
      <c r="E36" s="63">
        <f t="shared" si="4"/>
        <v>8.8999999999999996E-2</v>
      </c>
      <c r="F36" s="63">
        <f t="shared" si="4"/>
        <v>7.8E-2</v>
      </c>
      <c r="G36" s="63">
        <f t="shared" si="4"/>
        <v>9.1999999999999998E-2</v>
      </c>
      <c r="H36" s="222">
        <f>DZ_INPUTS!B16-1</f>
        <v>9.000000000000008E-2</v>
      </c>
    </row>
    <row r="37" spans="1:8" x14ac:dyDescent="0.4">
      <c r="A37" s="61" t="s">
        <v>589</v>
      </c>
    </row>
    <row r="38" spans="1:8" x14ac:dyDescent="0.4">
      <c r="A38" s="61"/>
    </row>
    <row r="39" spans="1:8" x14ac:dyDescent="0.4">
      <c r="A39" s="61" t="s">
        <v>590</v>
      </c>
      <c r="B39" s="2" t="s">
        <v>578</v>
      </c>
      <c r="C39" s="63">
        <f>ROUND(C28/C24,3)</f>
        <v>0.14099999999999999</v>
      </c>
      <c r="D39" s="63">
        <f t="shared" ref="D39:G39" si="5">ROUND(D28/D24,3)</f>
        <v>0.115</v>
      </c>
      <c r="E39" s="63">
        <f t="shared" si="5"/>
        <v>6.4000000000000001E-2</v>
      </c>
      <c r="F39" s="63">
        <f t="shared" si="5"/>
        <v>9.6000000000000002E-2</v>
      </c>
      <c r="G39" s="63">
        <f t="shared" si="5"/>
        <v>0.128</v>
      </c>
      <c r="H39" s="222">
        <f>DZ_INPUTS!B17-1</f>
        <v>0.1100000000000001</v>
      </c>
    </row>
    <row r="40" spans="1:8" x14ac:dyDescent="0.4">
      <c r="A40" s="61" t="s">
        <v>591</v>
      </c>
    </row>
    <row r="41" spans="1:8" x14ac:dyDescent="0.4">
      <c r="A41" s="61"/>
    </row>
    <row r="43" spans="1:8" x14ac:dyDescent="0.4">
      <c r="A43" s="223" t="s">
        <v>592</v>
      </c>
      <c r="B43" s="223"/>
    </row>
    <row r="44" spans="1:8" x14ac:dyDescent="0.4">
      <c r="A44" s="223" t="s">
        <v>593</v>
      </c>
      <c r="B44" s="223"/>
    </row>
    <row r="45" spans="1:8" x14ac:dyDescent="0.4">
      <c r="A45" s="223" t="s">
        <v>594</v>
      </c>
      <c r="B45" s="223"/>
    </row>
  </sheetData>
  <mergeCells count="7">
    <mergeCell ref="A30:G30"/>
    <mergeCell ref="A1:G1"/>
    <mergeCell ref="A3:G3"/>
    <mergeCell ref="A5:G5"/>
    <mergeCell ref="A7:G7"/>
    <mergeCell ref="A8:G8"/>
    <mergeCell ref="A9:G9"/>
  </mergeCells>
  <printOptions horizontalCentered="1"/>
  <pageMargins left="0.25" right="0.25" top="0.75" bottom="0.75" header="0.3" footer="0.3"/>
  <pageSetup firstPageNumber="0" orientation="portrait" useFirstPageNumber="1" r:id="rId1"/>
  <headerFooter>
    <oddHeader>&amp;L&amp;"Times New Roman"&amp;9INSURANCE SERVICES OFFICE, INC.</oddHeader>
    <oddFooter>&amp;C&amp;"Times New Roman"&amp;9© Insurance Services Office, Inc., 2022        		OREGON        BP-2021-RLA1&amp;R&amp;"Times New Roman"&amp;9&amp;A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AEBDF3-1100-4811-92BC-435A49010B30}">
  <sheetPr>
    <pageSetUpPr fitToPage="1"/>
  </sheetPr>
  <dimension ref="A1:H35"/>
  <sheetViews>
    <sheetView workbookViewId="0">
      <selection sqref="A1:G1"/>
    </sheetView>
  </sheetViews>
  <sheetFormatPr defaultColWidth="9.1328125" defaultRowHeight="13.15" x14ac:dyDescent="0.4"/>
  <cols>
    <col min="1" max="1" width="4" style="2" customWidth="1"/>
    <col min="2" max="2" width="25.86328125" style="2" customWidth="1"/>
    <col min="3" max="7" width="9.1328125" style="2"/>
    <col min="8" max="8" width="12.73046875" style="2" bestFit="1" customWidth="1"/>
    <col min="9" max="16384" width="9.1328125" style="2"/>
  </cols>
  <sheetData>
    <row r="1" spans="1:7" x14ac:dyDescent="0.4">
      <c r="A1" s="241" t="str">
        <f>UPPER(state)</f>
        <v>OREGON</v>
      </c>
      <c r="B1" s="241"/>
      <c r="C1" s="241"/>
      <c r="D1" s="241"/>
      <c r="E1" s="241"/>
      <c r="F1" s="241"/>
      <c r="G1" s="241"/>
    </row>
    <row r="3" spans="1:7" x14ac:dyDescent="0.4">
      <c r="A3" s="241" t="s">
        <v>153</v>
      </c>
      <c r="B3" s="241"/>
      <c r="C3" s="241"/>
      <c r="D3" s="241"/>
      <c r="E3" s="241"/>
      <c r="F3" s="241"/>
      <c r="G3" s="241"/>
    </row>
    <row r="5" spans="1:7" x14ac:dyDescent="0.4">
      <c r="A5" s="241" t="s">
        <v>595</v>
      </c>
      <c r="B5" s="241"/>
      <c r="C5" s="241"/>
      <c r="D5" s="241"/>
      <c r="E5" s="241"/>
      <c r="F5" s="241"/>
      <c r="G5" s="241"/>
    </row>
    <row r="7" spans="1:7" x14ac:dyDescent="0.4">
      <c r="A7" s="241" t="s">
        <v>123</v>
      </c>
      <c r="B7" s="241"/>
      <c r="C7" s="241"/>
      <c r="D7" s="241"/>
      <c r="E7" s="241"/>
      <c r="F7" s="241"/>
      <c r="G7" s="241"/>
    </row>
    <row r="8" spans="1:7" x14ac:dyDescent="0.4">
      <c r="A8" s="241" t="s">
        <v>571</v>
      </c>
      <c r="B8" s="241"/>
      <c r="C8" s="241"/>
      <c r="D8" s="241"/>
      <c r="E8" s="241"/>
      <c r="F8" s="241"/>
      <c r="G8" s="241"/>
    </row>
    <row r="9" spans="1:7" x14ac:dyDescent="0.4">
      <c r="A9" s="241" t="s">
        <v>596</v>
      </c>
      <c r="B9" s="241"/>
      <c r="C9" s="241"/>
      <c r="D9" s="241"/>
      <c r="E9" s="241"/>
      <c r="F9" s="241"/>
      <c r="G9" s="241"/>
    </row>
    <row r="10" spans="1:7" x14ac:dyDescent="0.4">
      <c r="A10" s="241" t="s">
        <v>597</v>
      </c>
      <c r="B10" s="241"/>
      <c r="C10" s="241"/>
      <c r="D10" s="241"/>
      <c r="E10" s="241"/>
      <c r="F10" s="241"/>
      <c r="G10" s="241"/>
    </row>
    <row r="12" spans="1:7" x14ac:dyDescent="0.4">
      <c r="C12" s="52">
        <v>2010</v>
      </c>
      <c r="D12" s="52">
        <v>2011</v>
      </c>
      <c r="E12" s="52">
        <v>2012</v>
      </c>
      <c r="F12" s="52">
        <v>2013</v>
      </c>
      <c r="G12" s="52">
        <v>2014</v>
      </c>
    </row>
    <row r="14" spans="1:7" x14ac:dyDescent="0.4">
      <c r="A14" s="224" t="s">
        <v>206</v>
      </c>
      <c r="B14" s="2" t="s">
        <v>598</v>
      </c>
      <c r="C14" s="117">
        <v>38206</v>
      </c>
      <c r="D14" s="117">
        <v>40299</v>
      </c>
      <c r="E14" s="117">
        <v>46002</v>
      </c>
      <c r="F14" s="117">
        <v>22915</v>
      </c>
      <c r="G14" s="117">
        <v>29232</v>
      </c>
    </row>
    <row r="15" spans="1:7" ht="26.25" x14ac:dyDescent="0.4">
      <c r="A15" s="225" t="s">
        <v>207</v>
      </c>
      <c r="B15" s="226" t="s">
        <v>599</v>
      </c>
      <c r="C15" s="117">
        <v>9326.759</v>
      </c>
      <c r="D15" s="117">
        <v>4868</v>
      </c>
      <c r="E15" s="117">
        <v>8641</v>
      </c>
      <c r="F15" s="117">
        <v>6259</v>
      </c>
      <c r="G15" s="117">
        <v>8760</v>
      </c>
    </row>
    <row r="16" spans="1:7" x14ac:dyDescent="0.4">
      <c r="A16" s="225"/>
      <c r="B16" s="226"/>
      <c r="C16" s="221"/>
      <c r="D16" s="221"/>
      <c r="E16" s="221"/>
      <c r="F16" s="221"/>
      <c r="G16" s="221"/>
    </row>
    <row r="17" spans="1:8" x14ac:dyDescent="0.4">
      <c r="C17" s="52">
        <v>2015</v>
      </c>
      <c r="D17" s="52">
        <v>2016</v>
      </c>
      <c r="E17" s="52">
        <v>2017</v>
      </c>
      <c r="F17" s="52">
        <v>2018</v>
      </c>
      <c r="G17" s="52">
        <v>2019</v>
      </c>
    </row>
    <row r="19" spans="1:8" x14ac:dyDescent="0.4">
      <c r="A19" s="224" t="s">
        <v>206</v>
      </c>
      <c r="B19" s="2" t="s">
        <v>598</v>
      </c>
      <c r="C19" s="117">
        <v>59447</v>
      </c>
      <c r="D19" s="117">
        <v>50793</v>
      </c>
      <c r="E19" s="117">
        <v>30546</v>
      </c>
      <c r="F19" s="117">
        <v>89367</v>
      </c>
      <c r="G19" s="117">
        <v>159131</v>
      </c>
    </row>
    <row r="20" spans="1:8" ht="26.25" x14ac:dyDescent="0.4">
      <c r="A20" s="225" t="s">
        <v>207</v>
      </c>
      <c r="B20" s="226" t="s">
        <v>599</v>
      </c>
      <c r="C20" s="117">
        <v>7371</v>
      </c>
      <c r="D20" s="117">
        <v>7482</v>
      </c>
      <c r="E20" s="117">
        <v>12323</v>
      </c>
      <c r="F20" s="117">
        <v>16940</v>
      </c>
      <c r="G20" s="117">
        <v>13033</v>
      </c>
    </row>
    <row r="22" spans="1:8" x14ac:dyDescent="0.4">
      <c r="A22" s="241" t="s">
        <v>583</v>
      </c>
      <c r="B22" s="241"/>
      <c r="C22" s="241"/>
      <c r="D22" s="241"/>
      <c r="E22" s="241"/>
      <c r="F22" s="241"/>
      <c r="G22" s="241"/>
    </row>
    <row r="24" spans="1:8" x14ac:dyDescent="0.4">
      <c r="C24" s="52">
        <v>2010</v>
      </c>
      <c r="D24" s="52">
        <v>2011</v>
      </c>
      <c r="E24" s="52">
        <v>2012</v>
      </c>
      <c r="F24" s="52">
        <v>2013</v>
      </c>
      <c r="G24" s="52">
        <v>2014</v>
      </c>
    </row>
    <row r="25" spans="1:8" x14ac:dyDescent="0.4">
      <c r="C25" s="41"/>
      <c r="D25" s="41"/>
      <c r="E25" s="41"/>
      <c r="F25" s="41"/>
      <c r="G25" s="41"/>
    </row>
    <row r="26" spans="1:8" ht="39.4" x14ac:dyDescent="0.4">
      <c r="A26" s="225" t="s">
        <v>208</v>
      </c>
      <c r="B26" s="227" t="s">
        <v>600</v>
      </c>
      <c r="C26" s="228">
        <f>ROUND(C15/C14,3)</f>
        <v>0.24399999999999999</v>
      </c>
      <c r="D26" s="228">
        <f t="shared" ref="D26:G26" si="0">ROUND(D15/D14,3)</f>
        <v>0.121</v>
      </c>
      <c r="E26" s="228">
        <f t="shared" si="0"/>
        <v>0.188</v>
      </c>
      <c r="F26" s="228">
        <f t="shared" si="0"/>
        <v>0.27300000000000002</v>
      </c>
      <c r="G26" s="228">
        <f t="shared" si="0"/>
        <v>0.3</v>
      </c>
    </row>
    <row r="27" spans="1:8" x14ac:dyDescent="0.4">
      <c r="A27" s="225"/>
      <c r="B27" s="227"/>
      <c r="C27" s="229"/>
      <c r="D27" s="229"/>
      <c r="E27" s="229"/>
      <c r="F27" s="229"/>
      <c r="G27" s="229"/>
    </row>
    <row r="28" spans="1:8" x14ac:dyDescent="0.4">
      <c r="C28" s="52">
        <v>2015</v>
      </c>
      <c r="D28" s="52">
        <v>2016</v>
      </c>
      <c r="E28" s="52">
        <v>2017</v>
      </c>
      <c r="F28" s="52">
        <v>2018</v>
      </c>
      <c r="G28" s="52">
        <v>2019</v>
      </c>
      <c r="H28" s="52" t="s">
        <v>584</v>
      </c>
    </row>
    <row r="29" spans="1:8" x14ac:dyDescent="0.4">
      <c r="C29" s="41"/>
      <c r="D29" s="41"/>
      <c r="E29" s="41"/>
      <c r="F29" s="41"/>
      <c r="G29" s="41"/>
    </row>
    <row r="30" spans="1:8" ht="39.4" x14ac:dyDescent="0.4">
      <c r="A30" s="225" t="s">
        <v>208</v>
      </c>
      <c r="B30" s="227" t="s">
        <v>600</v>
      </c>
      <c r="C30" s="228">
        <f>ROUND(C20/C19,3)</f>
        <v>0.124</v>
      </c>
      <c r="D30" s="228">
        <f t="shared" ref="D30:G30" si="1">ROUND(D20/D19,3)</f>
        <v>0.14699999999999999</v>
      </c>
      <c r="E30" s="228">
        <f t="shared" si="1"/>
        <v>0.40300000000000002</v>
      </c>
      <c r="F30" s="228">
        <f t="shared" si="1"/>
        <v>0.19</v>
      </c>
      <c r="G30" s="228">
        <f t="shared" si="1"/>
        <v>8.2000000000000003E-2</v>
      </c>
      <c r="H30" s="230">
        <f>DZ_INPUTS!B19-1</f>
        <v>0.18999999999999995</v>
      </c>
    </row>
    <row r="31" spans="1:8" x14ac:dyDescent="0.4">
      <c r="A31" s="225"/>
      <c r="B31" s="227"/>
      <c r="C31" s="228"/>
      <c r="D31" s="228"/>
      <c r="E31" s="228"/>
      <c r="F31" s="228"/>
      <c r="G31" s="228"/>
    </row>
    <row r="33" spans="1:2" x14ac:dyDescent="0.4">
      <c r="A33" s="223" t="s">
        <v>592</v>
      </c>
    </row>
    <row r="34" spans="1:2" x14ac:dyDescent="0.4">
      <c r="A34" s="223" t="s">
        <v>601</v>
      </c>
      <c r="B34" s="223"/>
    </row>
    <row r="35" spans="1:2" x14ac:dyDescent="0.4">
      <c r="A35" s="223" t="s">
        <v>594</v>
      </c>
      <c r="B35" s="223"/>
    </row>
  </sheetData>
  <mergeCells count="8">
    <mergeCell ref="A10:G10"/>
    <mergeCell ref="A22:G22"/>
    <mergeCell ref="A1:G1"/>
    <mergeCell ref="A3:G3"/>
    <mergeCell ref="A5:G5"/>
    <mergeCell ref="A7:G7"/>
    <mergeCell ref="A8:G8"/>
    <mergeCell ref="A9:G9"/>
  </mergeCells>
  <printOptions horizontalCentered="1"/>
  <pageMargins left="0.25" right="0.25" top="0.75" bottom="0.75" header="0.3" footer="0.3"/>
  <pageSetup firstPageNumber="0" orientation="portrait" useFirstPageNumber="1" r:id="rId1"/>
  <headerFooter>
    <oddHeader>&amp;L&amp;"Times New Roman"&amp;9INSURANCE SERVICES OFFICE, INC.</oddHeader>
    <oddFooter>&amp;C&amp;"Times New Roman"&amp;9© Insurance Services Office, Inc., 2022        		OREGON        BP-2021-RLA1&amp;R&amp;"Times New Roman"&amp;9&amp;A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83C123-C3C2-4D30-9707-972BA959D99C}">
  <sheetPr>
    <pageSetUpPr fitToPage="1"/>
  </sheetPr>
  <dimension ref="A1:H41"/>
  <sheetViews>
    <sheetView workbookViewId="0">
      <selection sqref="A1:G1"/>
    </sheetView>
  </sheetViews>
  <sheetFormatPr defaultColWidth="9.1328125" defaultRowHeight="13.15" x14ac:dyDescent="0.4"/>
  <cols>
    <col min="1" max="1" width="4" style="2" customWidth="1"/>
    <col min="2" max="2" width="18.73046875" style="2" customWidth="1"/>
    <col min="3" max="7" width="10.1328125" style="2" bestFit="1" customWidth="1"/>
    <col min="8" max="8" width="12.73046875" style="2" bestFit="1" customWidth="1"/>
    <col min="9" max="16384" width="9.1328125" style="2"/>
  </cols>
  <sheetData>
    <row r="1" spans="1:7" x14ac:dyDescent="0.4">
      <c r="A1" s="241" t="str">
        <f>UPPER(state)</f>
        <v>OREGON</v>
      </c>
      <c r="B1" s="241"/>
      <c r="C1" s="241"/>
      <c r="D1" s="241"/>
      <c r="E1" s="241"/>
      <c r="F1" s="241"/>
      <c r="G1" s="241"/>
    </row>
    <row r="3" spans="1:7" x14ac:dyDescent="0.4">
      <c r="A3" s="241" t="s">
        <v>153</v>
      </c>
      <c r="B3" s="241"/>
      <c r="C3" s="241"/>
      <c r="D3" s="241"/>
      <c r="E3" s="241"/>
      <c r="F3" s="241"/>
      <c r="G3" s="241"/>
    </row>
    <row r="5" spans="1:7" x14ac:dyDescent="0.4">
      <c r="A5" s="241" t="s">
        <v>602</v>
      </c>
      <c r="B5" s="241"/>
      <c r="C5" s="241"/>
      <c r="D5" s="241"/>
      <c r="E5" s="241"/>
      <c r="F5" s="241"/>
      <c r="G5" s="241"/>
    </row>
    <row r="7" spans="1:7" x14ac:dyDescent="0.4">
      <c r="A7" s="241" t="s">
        <v>603</v>
      </c>
      <c r="B7" s="241"/>
      <c r="C7" s="241"/>
      <c r="D7" s="241"/>
      <c r="E7" s="241"/>
      <c r="F7" s="241"/>
      <c r="G7" s="241"/>
    </row>
    <row r="8" spans="1:7" x14ac:dyDescent="0.4">
      <c r="A8" s="241" t="s">
        <v>571</v>
      </c>
      <c r="B8" s="241"/>
      <c r="C8" s="241"/>
      <c r="D8" s="241"/>
      <c r="E8" s="241"/>
      <c r="F8" s="241"/>
      <c r="G8" s="241"/>
    </row>
    <row r="9" spans="1:7" x14ac:dyDescent="0.4">
      <c r="A9" s="241" t="s">
        <v>604</v>
      </c>
      <c r="B9" s="241"/>
      <c r="C9" s="241"/>
      <c r="D9" s="241"/>
      <c r="E9" s="241"/>
      <c r="F9" s="241"/>
      <c r="G9" s="241"/>
    </row>
    <row r="11" spans="1:7" x14ac:dyDescent="0.4">
      <c r="C11" s="52">
        <v>2015</v>
      </c>
      <c r="D11" s="52">
        <v>2016</v>
      </c>
      <c r="E11" s="52">
        <v>2017</v>
      </c>
      <c r="F11" s="52">
        <v>2018</v>
      </c>
      <c r="G11" s="52">
        <v>2019</v>
      </c>
    </row>
    <row r="13" spans="1:7" x14ac:dyDescent="0.4">
      <c r="A13" s="231" t="s">
        <v>206</v>
      </c>
      <c r="B13" s="2" t="s">
        <v>598</v>
      </c>
      <c r="C13" s="117">
        <v>20556498.563000001</v>
      </c>
      <c r="D13" s="117">
        <v>21171687.579999998</v>
      </c>
      <c r="E13" s="117">
        <v>18094486.892000001</v>
      </c>
      <c r="F13" s="117">
        <v>21524982.759</v>
      </c>
      <c r="G13" s="117">
        <v>23372674.048</v>
      </c>
    </row>
    <row r="14" spans="1:7" ht="39.4" x14ac:dyDescent="0.4">
      <c r="A14" s="232" t="s">
        <v>207</v>
      </c>
      <c r="B14" s="226" t="s">
        <v>605</v>
      </c>
      <c r="C14" s="117">
        <v>3997361.0269999998</v>
      </c>
      <c r="D14" s="117">
        <v>2809998.409</v>
      </c>
      <c r="E14" s="117">
        <v>3939086.8969999999</v>
      </c>
      <c r="F14" s="117">
        <v>3848987.62</v>
      </c>
      <c r="G14" s="117">
        <v>3725514.6439999999</v>
      </c>
    </row>
    <row r="15" spans="1:7" ht="39.4" x14ac:dyDescent="0.4">
      <c r="A15" s="232" t="s">
        <v>208</v>
      </c>
      <c r="B15" s="226" t="s">
        <v>606</v>
      </c>
      <c r="C15" s="117">
        <v>1816188.2660000001</v>
      </c>
      <c r="D15" s="117">
        <v>1878158.6240000001</v>
      </c>
      <c r="E15" s="117">
        <v>1740788.774</v>
      </c>
      <c r="F15" s="117">
        <v>1624707.382</v>
      </c>
      <c r="G15" s="117">
        <v>2118209.2280000001</v>
      </c>
    </row>
    <row r="17" spans="1:8" x14ac:dyDescent="0.4">
      <c r="A17" s="241" t="s">
        <v>583</v>
      </c>
      <c r="B17" s="241"/>
      <c r="C17" s="241"/>
      <c r="D17" s="241"/>
      <c r="E17" s="241"/>
      <c r="F17" s="241"/>
      <c r="G17" s="241"/>
    </row>
    <row r="18" spans="1:8" x14ac:dyDescent="0.4">
      <c r="A18" s="42"/>
      <c r="B18" s="42"/>
      <c r="C18" s="42"/>
      <c r="D18" s="42"/>
      <c r="E18" s="42"/>
      <c r="F18" s="42"/>
      <c r="G18" s="42"/>
    </row>
    <row r="19" spans="1:8" x14ac:dyDescent="0.4">
      <c r="C19" s="52">
        <v>2015</v>
      </c>
      <c r="D19" s="52">
        <v>2016</v>
      </c>
      <c r="E19" s="52">
        <v>2017</v>
      </c>
      <c r="F19" s="52">
        <v>2018</v>
      </c>
      <c r="G19" s="52">
        <v>2019</v>
      </c>
      <c r="H19" s="233" t="s">
        <v>584</v>
      </c>
    </row>
    <row r="20" spans="1:8" x14ac:dyDescent="0.4">
      <c r="A20" s="225"/>
      <c r="H20" s="222"/>
    </row>
    <row r="21" spans="1:8" ht="79.900000000000006" customHeight="1" x14ac:dyDescent="0.4">
      <c r="A21" s="232" t="s">
        <v>227</v>
      </c>
      <c r="B21" s="226" t="s">
        <v>607</v>
      </c>
      <c r="C21" s="228">
        <f>ROUND(C15/(C13+C14),3)</f>
        <v>7.3999999999999996E-2</v>
      </c>
      <c r="D21" s="228">
        <f t="shared" ref="D21:G21" si="0">ROUND(D15/(D13+D14),3)</f>
        <v>7.8E-2</v>
      </c>
      <c r="E21" s="228">
        <f t="shared" si="0"/>
        <v>7.9000000000000001E-2</v>
      </c>
      <c r="F21" s="228">
        <f t="shared" si="0"/>
        <v>6.4000000000000001E-2</v>
      </c>
      <c r="G21" s="228">
        <f t="shared" si="0"/>
        <v>7.8E-2</v>
      </c>
      <c r="H21" s="230">
        <f>DZ_INPUTS!B20-1</f>
        <v>8.0000000000000071E-2</v>
      </c>
    </row>
    <row r="23" spans="1:8" x14ac:dyDescent="0.4">
      <c r="A23" s="275" t="s">
        <v>608</v>
      </c>
      <c r="B23" s="275"/>
      <c r="C23" s="275"/>
      <c r="D23" s="275"/>
      <c r="E23" s="275"/>
      <c r="F23" s="275"/>
      <c r="G23" s="275"/>
    </row>
    <row r="24" spans="1:8" x14ac:dyDescent="0.4">
      <c r="A24" s="275" t="s">
        <v>609</v>
      </c>
      <c r="B24" s="275"/>
      <c r="C24" s="275"/>
      <c r="D24" s="275"/>
      <c r="E24" s="275"/>
      <c r="F24" s="275"/>
      <c r="G24" s="275"/>
    </row>
    <row r="25" spans="1:8" x14ac:dyDescent="0.4">
      <c r="A25" s="276" t="s">
        <v>583</v>
      </c>
      <c r="B25" s="276"/>
      <c r="C25" s="276"/>
      <c r="D25" s="276"/>
      <c r="E25" s="276"/>
      <c r="F25" s="276"/>
      <c r="G25" s="276"/>
    </row>
    <row r="27" spans="1:8" x14ac:dyDescent="0.4">
      <c r="C27" s="2">
        <f t="shared" ref="C27:C34" si="1">C28-1</f>
        <v>2010</v>
      </c>
      <c r="D27" s="234">
        <v>8.5823768166364861E-2</v>
      </c>
    </row>
    <row r="28" spans="1:8" x14ac:dyDescent="0.4">
      <c r="C28" s="2">
        <f t="shared" si="1"/>
        <v>2011</v>
      </c>
      <c r="D28" s="234">
        <v>7.9289931027897123E-2</v>
      </c>
    </row>
    <row r="29" spans="1:8" x14ac:dyDescent="0.4">
      <c r="C29" s="2">
        <f t="shared" si="1"/>
        <v>2012</v>
      </c>
      <c r="D29" s="234">
        <v>7.5831978610239797E-2</v>
      </c>
    </row>
    <row r="30" spans="1:8" x14ac:dyDescent="0.4">
      <c r="C30" s="2">
        <f t="shared" si="1"/>
        <v>2013</v>
      </c>
      <c r="D30" s="234">
        <v>8.6346393496678206E-2</v>
      </c>
    </row>
    <row r="31" spans="1:8" x14ac:dyDescent="0.4">
      <c r="C31" s="2">
        <f t="shared" si="1"/>
        <v>2014</v>
      </c>
      <c r="D31" s="234">
        <v>8.8142303443536921E-2</v>
      </c>
    </row>
    <row r="32" spans="1:8" x14ac:dyDescent="0.4">
      <c r="C32" s="2">
        <f t="shared" si="1"/>
        <v>2015</v>
      </c>
      <c r="D32" s="234">
        <v>7.3967526748408841E-2</v>
      </c>
    </row>
    <row r="33" spans="1:4" x14ac:dyDescent="0.4">
      <c r="C33" s="2">
        <f t="shared" si="1"/>
        <v>2016</v>
      </c>
      <c r="D33" s="234">
        <v>7.8316371286884512E-2</v>
      </c>
    </row>
    <row r="34" spans="1:4" x14ac:dyDescent="0.4">
      <c r="C34" s="2">
        <f t="shared" si="1"/>
        <v>2017</v>
      </c>
      <c r="D34" s="234">
        <v>7.9006192580028389E-2</v>
      </c>
    </row>
    <row r="35" spans="1:4" x14ac:dyDescent="0.4">
      <c r="C35" s="2">
        <f>C36-1</f>
        <v>2018</v>
      </c>
      <c r="D35" s="234">
        <v>6.4030475236332735E-2</v>
      </c>
    </row>
    <row r="36" spans="1:4" x14ac:dyDescent="0.4">
      <c r="C36" s="2">
        <f>G19</f>
        <v>2019</v>
      </c>
      <c r="D36" s="234">
        <v>7.816792672291574E-2</v>
      </c>
    </row>
    <row r="39" spans="1:4" x14ac:dyDescent="0.4">
      <c r="A39" s="223" t="s">
        <v>592</v>
      </c>
      <c r="B39" s="223"/>
    </row>
    <row r="40" spans="1:4" x14ac:dyDescent="0.4">
      <c r="A40" s="223" t="s">
        <v>610</v>
      </c>
      <c r="B40" s="223"/>
    </row>
    <row r="41" spans="1:4" x14ac:dyDescent="0.4">
      <c r="A41" s="223" t="s">
        <v>594</v>
      </c>
      <c r="B41" s="223"/>
    </row>
  </sheetData>
  <mergeCells count="10">
    <mergeCell ref="A17:G17"/>
    <mergeCell ref="A23:G23"/>
    <mergeCell ref="A24:G24"/>
    <mergeCell ref="A25:G25"/>
    <mergeCell ref="A1:G1"/>
    <mergeCell ref="A3:G3"/>
    <mergeCell ref="A5:G5"/>
    <mergeCell ref="A7:G7"/>
    <mergeCell ref="A8:G8"/>
    <mergeCell ref="A9:G9"/>
  </mergeCells>
  <printOptions horizontalCentered="1"/>
  <pageMargins left="0.25" right="0.25" top="0.75" bottom="0.75" header="0.3" footer="0.3"/>
  <pageSetup firstPageNumber="0" orientation="portrait" useFirstPageNumber="1" r:id="rId1"/>
  <headerFooter>
    <oddHeader>&amp;L&amp;"Times New Roman"&amp;9INSURANCE SERVICES OFFICE, INC.</oddHeader>
    <oddFooter>&amp;C&amp;"Times New Roman"&amp;9© Insurance Services Office, Inc., 2022        		OREGON        BP-2021-RLA1&amp;R&amp;"Times New Roman"&amp;9&amp;A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CD9E3-4E97-4539-9D36-24AC56690AD0}">
  <dimension ref="A1:J44"/>
  <sheetViews>
    <sheetView zoomScaleNormal="100" workbookViewId="0">
      <selection sqref="A1:J1"/>
    </sheetView>
  </sheetViews>
  <sheetFormatPr defaultColWidth="9.1328125" defaultRowHeight="13.15" x14ac:dyDescent="0.4"/>
  <cols>
    <col min="1" max="1" width="5.3984375" style="2" customWidth="1"/>
    <col min="2" max="2" width="9.1328125" style="2"/>
    <col min="3" max="3" width="7.3984375" style="2" customWidth="1"/>
    <col min="4" max="4" width="7.86328125" style="2" customWidth="1"/>
    <col min="5" max="5" width="13.265625" style="2" customWidth="1"/>
    <col min="6" max="6" width="10" style="2" customWidth="1"/>
    <col min="7" max="7" width="5" style="2" customWidth="1"/>
    <col min="8" max="8" width="6.73046875" style="2" customWidth="1"/>
    <col min="9" max="9" width="4.265625" style="2" customWidth="1"/>
    <col min="10" max="10" width="7.3984375" style="2" customWidth="1"/>
    <col min="11" max="16384" width="9.1328125" style="2"/>
  </cols>
  <sheetData>
    <row r="1" spans="1:10" x14ac:dyDescent="0.4">
      <c r="A1" s="240" t="str">
        <f>UPPER(state)</f>
        <v>OREGON</v>
      </c>
      <c r="B1" s="240"/>
      <c r="C1" s="240"/>
      <c r="D1" s="240"/>
      <c r="E1" s="240"/>
      <c r="F1" s="240"/>
      <c r="G1" s="240"/>
      <c r="H1" s="240"/>
      <c r="I1" s="240"/>
      <c r="J1" s="240"/>
    </row>
    <row r="2" spans="1:10" x14ac:dyDescent="0.4">
      <c r="A2" s="239"/>
      <c r="B2" s="239"/>
      <c r="C2" s="239"/>
      <c r="D2" s="239"/>
      <c r="E2" s="239"/>
      <c r="F2" s="239"/>
      <c r="G2" s="239"/>
      <c r="H2" s="239"/>
      <c r="I2" s="239"/>
      <c r="J2" s="239"/>
    </row>
    <row r="3" spans="1:10" x14ac:dyDescent="0.4">
      <c r="A3" s="241" t="s">
        <v>153</v>
      </c>
      <c r="B3" s="241"/>
      <c r="C3" s="241"/>
      <c r="D3" s="241"/>
      <c r="E3" s="241"/>
      <c r="F3" s="241"/>
      <c r="G3" s="241"/>
      <c r="H3" s="241"/>
      <c r="I3" s="241"/>
      <c r="J3" s="241"/>
    </row>
    <row r="4" spans="1:10" x14ac:dyDescent="0.4">
      <c r="A4" s="239"/>
      <c r="B4" s="239"/>
      <c r="C4" s="239"/>
      <c r="D4" s="239"/>
      <c r="E4" s="239"/>
      <c r="F4" s="239"/>
      <c r="G4" s="239"/>
      <c r="H4" s="239"/>
      <c r="I4" s="239"/>
      <c r="J4" s="239"/>
    </row>
    <row r="5" spans="1:10" x14ac:dyDescent="0.4">
      <c r="A5" s="241" t="s">
        <v>168</v>
      </c>
      <c r="B5" s="241"/>
      <c r="C5" s="241"/>
      <c r="D5" s="241"/>
      <c r="E5" s="241"/>
      <c r="F5" s="241"/>
      <c r="G5" s="241"/>
      <c r="H5" s="241"/>
      <c r="I5" s="241"/>
      <c r="J5" s="241"/>
    </row>
    <row r="6" spans="1:10" x14ac:dyDescent="0.4">
      <c r="A6" s="239"/>
      <c r="B6" s="239"/>
      <c r="C6" s="239"/>
      <c r="D6" s="239"/>
      <c r="E6" s="239"/>
      <c r="F6" s="239"/>
      <c r="G6" s="239"/>
      <c r="H6" s="239"/>
      <c r="I6" s="239"/>
      <c r="J6" s="239"/>
    </row>
    <row r="7" spans="1:10" x14ac:dyDescent="0.4">
      <c r="A7" s="241" t="s">
        <v>169</v>
      </c>
      <c r="B7" s="241"/>
      <c r="C7" s="241"/>
      <c r="D7" s="241"/>
      <c r="E7" s="241"/>
      <c r="F7" s="241"/>
      <c r="G7" s="241"/>
      <c r="H7" s="241"/>
      <c r="I7" s="241"/>
      <c r="J7" s="241"/>
    </row>
    <row r="8" spans="1:10" x14ac:dyDescent="0.4">
      <c r="A8" s="239"/>
      <c r="B8" s="239"/>
      <c r="C8" s="239"/>
      <c r="D8" s="239"/>
      <c r="E8" s="239"/>
      <c r="F8" s="239"/>
      <c r="G8" s="239"/>
      <c r="H8" s="239"/>
      <c r="I8" s="239"/>
      <c r="J8" s="239"/>
    </row>
    <row r="9" spans="1:10" x14ac:dyDescent="0.4">
      <c r="A9" s="241" t="s">
        <v>170</v>
      </c>
      <c r="B9" s="241"/>
      <c r="C9" s="241"/>
      <c r="D9" s="241"/>
      <c r="E9" s="241"/>
      <c r="F9" s="241"/>
      <c r="G9" s="241"/>
      <c r="H9" s="241"/>
      <c r="I9" s="241"/>
      <c r="J9" s="241"/>
    </row>
    <row r="10" spans="1:10" x14ac:dyDescent="0.4">
      <c r="A10" s="242" t="s">
        <v>138</v>
      </c>
      <c r="B10" s="242"/>
      <c r="C10" s="242"/>
      <c r="D10" s="242"/>
    </row>
    <row r="11" spans="1:10" x14ac:dyDescent="0.4">
      <c r="D11" s="241" t="s">
        <v>157</v>
      </c>
      <c r="E11" s="241"/>
      <c r="F11" s="241"/>
      <c r="G11" s="241" t="s">
        <v>171</v>
      </c>
      <c r="H11" s="241"/>
      <c r="I11" s="241"/>
      <c r="J11" s="47"/>
    </row>
    <row r="12" spans="1:10" x14ac:dyDescent="0.4">
      <c r="B12" s="52" t="s">
        <v>172</v>
      </c>
      <c r="D12" s="243" t="s">
        <v>158</v>
      </c>
      <c r="E12" s="243"/>
      <c r="F12" s="243"/>
      <c r="G12" s="243" t="s">
        <v>173</v>
      </c>
      <c r="H12" s="243"/>
      <c r="I12" s="243"/>
    </row>
    <row r="14" spans="1:10" x14ac:dyDescent="0.4">
      <c r="B14" s="42">
        <v>701</v>
      </c>
      <c r="E14" s="53">
        <v>3532573</v>
      </c>
      <c r="H14" s="54">
        <v>7.0000000000000007E-2</v>
      </c>
      <c r="I14" s="2" t="s">
        <v>174</v>
      </c>
    </row>
    <row r="15" spans="1:10" x14ac:dyDescent="0.4">
      <c r="B15" s="42">
        <v>702</v>
      </c>
      <c r="E15" s="53">
        <v>9672181</v>
      </c>
      <c r="H15" s="54">
        <v>0.14299999999999999</v>
      </c>
      <c r="I15" s="2" t="s">
        <v>174</v>
      </c>
    </row>
    <row r="16" spans="1:10" x14ac:dyDescent="0.4">
      <c r="B16" s="42"/>
      <c r="E16" s="55"/>
      <c r="H16" s="56"/>
    </row>
    <row r="17" spans="1:10" x14ac:dyDescent="0.4">
      <c r="B17" s="42" t="s">
        <v>175</v>
      </c>
      <c r="E17" s="57">
        <f>SUM(E14:E15)</f>
        <v>13204754</v>
      </c>
      <c r="H17" s="58">
        <f>ROUND(SUMPRODUCT(E14:E15,H14:H15)/E17,3)</f>
        <v>0.123</v>
      </c>
    </row>
    <row r="19" spans="1:10" x14ac:dyDescent="0.4">
      <c r="A19" s="242" t="s">
        <v>176</v>
      </c>
      <c r="B19" s="242"/>
      <c r="C19" s="242"/>
      <c r="D19" s="242"/>
    </row>
    <row r="20" spans="1:10" x14ac:dyDescent="0.4">
      <c r="D20" s="241" t="s">
        <v>157</v>
      </c>
      <c r="E20" s="241"/>
      <c r="F20" s="241"/>
      <c r="G20" s="241" t="s">
        <v>171</v>
      </c>
      <c r="H20" s="241"/>
      <c r="I20" s="241"/>
      <c r="J20" s="47"/>
    </row>
    <row r="21" spans="1:10" x14ac:dyDescent="0.4">
      <c r="B21" s="52" t="s">
        <v>172</v>
      </c>
      <c r="D21" s="243" t="s">
        <v>158</v>
      </c>
      <c r="E21" s="243"/>
      <c r="F21" s="243"/>
      <c r="G21" s="243" t="s">
        <v>173</v>
      </c>
      <c r="H21" s="243"/>
      <c r="I21" s="243"/>
    </row>
    <row r="23" spans="1:10" x14ac:dyDescent="0.4">
      <c r="B23" s="42">
        <v>701</v>
      </c>
      <c r="E23" s="53">
        <v>1654334</v>
      </c>
      <c r="H23" s="54">
        <v>0.13500000000000001</v>
      </c>
      <c r="I23" s="2" t="s">
        <v>174</v>
      </c>
    </row>
    <row r="24" spans="1:10" x14ac:dyDescent="0.4">
      <c r="B24" s="42">
        <v>702</v>
      </c>
      <c r="E24" s="53">
        <v>4410539</v>
      </c>
      <c r="H24" s="54">
        <v>0.20799999999999999</v>
      </c>
      <c r="I24" s="2" t="s">
        <v>174</v>
      </c>
    </row>
    <row r="25" spans="1:10" x14ac:dyDescent="0.4">
      <c r="E25" s="42"/>
      <c r="H25" s="56"/>
    </row>
    <row r="26" spans="1:10" x14ac:dyDescent="0.4">
      <c r="B26" s="42" t="s">
        <v>175</v>
      </c>
      <c r="E26" s="57">
        <f>SUM(E23:E24)</f>
        <v>6064873</v>
      </c>
      <c r="H26" s="58">
        <f>ROUND(SUMPRODUCT(E23:E24,H23:H24)/E26,3)</f>
        <v>0.188</v>
      </c>
    </row>
    <row r="28" spans="1:10" x14ac:dyDescent="0.4">
      <c r="A28" s="242" t="s">
        <v>177</v>
      </c>
      <c r="B28" s="242"/>
      <c r="C28" s="242"/>
      <c r="D28" s="242"/>
    </row>
    <row r="29" spans="1:10" x14ac:dyDescent="0.4">
      <c r="D29" s="241" t="s">
        <v>157</v>
      </c>
      <c r="E29" s="241"/>
      <c r="F29" s="241"/>
      <c r="G29" s="241" t="s">
        <v>171</v>
      </c>
      <c r="H29" s="241"/>
      <c r="I29" s="241"/>
      <c r="J29" s="47"/>
    </row>
    <row r="30" spans="1:10" x14ac:dyDescent="0.4">
      <c r="B30" s="52" t="s">
        <v>172</v>
      </c>
      <c r="D30" s="243" t="s">
        <v>158</v>
      </c>
      <c r="E30" s="243"/>
      <c r="F30" s="243"/>
      <c r="G30" s="243" t="s">
        <v>173</v>
      </c>
      <c r="H30" s="243"/>
      <c r="I30" s="243"/>
    </row>
    <row r="32" spans="1:10" x14ac:dyDescent="0.4">
      <c r="B32" s="42">
        <v>701</v>
      </c>
      <c r="E32" s="59">
        <f>E14+E23</f>
        <v>5186907</v>
      </c>
      <c r="H32" s="58">
        <f>ROUND(((E14*H14)+(E23*H23))/E32,3)</f>
        <v>9.0999999999999998E-2</v>
      </c>
    </row>
    <row r="33" spans="1:10" x14ac:dyDescent="0.4">
      <c r="B33" s="42">
        <v>702</v>
      </c>
      <c r="E33" s="59">
        <f>E15+E24</f>
        <v>14082720</v>
      </c>
      <c r="H33" s="58">
        <f>ROUND(((E15*H15)+(E24*H24))/E33,3)</f>
        <v>0.16300000000000001</v>
      </c>
    </row>
    <row r="34" spans="1:10" x14ac:dyDescent="0.4">
      <c r="E34" s="42"/>
      <c r="H34" s="56"/>
      <c r="I34" s="2" t="s">
        <v>174</v>
      </c>
    </row>
    <row r="35" spans="1:10" x14ac:dyDescent="0.4">
      <c r="B35" s="42" t="s">
        <v>175</v>
      </c>
      <c r="E35" s="57">
        <f>SUM(E32:E33)</f>
        <v>19269627</v>
      </c>
      <c r="H35" s="58">
        <f>ROUND(SUMPRODUCT(E32:E33,H32:H33)/E35,3)</f>
        <v>0.14399999999999999</v>
      </c>
      <c r="I35" s="2" t="str">
        <f>IF(ROUND(PropSWLCChange,3)=ROUND('EXHIBIT B1-1'!I33,3),"","#")</f>
        <v/>
      </c>
    </row>
    <row r="36" spans="1:10" x14ac:dyDescent="0.4">
      <c r="J36" s="60"/>
    </row>
    <row r="37" spans="1:10" x14ac:dyDescent="0.4">
      <c r="B37" s="2" t="s">
        <v>174</v>
      </c>
      <c r="J37" s="60"/>
    </row>
    <row r="38" spans="1:10" x14ac:dyDescent="0.4">
      <c r="B38" s="61"/>
    </row>
    <row r="39" spans="1:10" x14ac:dyDescent="0.4">
      <c r="B39" s="61" t="str">
        <f>IF(I35="",""," #   Due to rounding of the loss costs to three decimal places, this change")</f>
        <v/>
      </c>
    </row>
    <row r="40" spans="1:10" x14ac:dyDescent="0.4">
      <c r="B40" s="61" t="str">
        <f>IF(I35="","","      varies from the overall statewide change on Exhibit B1-1.")</f>
        <v/>
      </c>
    </row>
    <row r="41" spans="1:10" x14ac:dyDescent="0.4">
      <c r="B41" s="61" t="s">
        <v>174</v>
      </c>
    </row>
    <row r="42" spans="1:10" x14ac:dyDescent="0.4">
      <c r="B42" s="61" t="s">
        <v>174</v>
      </c>
    </row>
    <row r="44" spans="1:10" x14ac:dyDescent="0.4">
      <c r="A44" s="62"/>
      <c r="B44" s="61"/>
    </row>
  </sheetData>
  <mergeCells count="24">
    <mergeCell ref="A28:D28"/>
    <mergeCell ref="D29:F29"/>
    <mergeCell ref="G29:I29"/>
    <mergeCell ref="D30:F30"/>
    <mergeCell ref="G30:I30"/>
    <mergeCell ref="D21:F21"/>
    <mergeCell ref="G21:I21"/>
    <mergeCell ref="A7:J7"/>
    <mergeCell ref="A8:J8"/>
    <mergeCell ref="A9:J9"/>
    <mergeCell ref="A10:D10"/>
    <mergeCell ref="D11:F11"/>
    <mergeCell ref="G11:I11"/>
    <mergeCell ref="D12:F12"/>
    <mergeCell ref="G12:I12"/>
    <mergeCell ref="A19:D19"/>
    <mergeCell ref="D20:F20"/>
    <mergeCell ref="G20:I20"/>
    <mergeCell ref="A6:J6"/>
    <mergeCell ref="A1:J1"/>
    <mergeCell ref="A2:J2"/>
    <mergeCell ref="A3:J3"/>
    <mergeCell ref="A4:J4"/>
    <mergeCell ref="A5:J5"/>
  </mergeCells>
  <printOptions horizontalCentered="1"/>
  <pageMargins left="1.1000000000000001" right="0.7" top="0.47" bottom="0.39" header="0.3" footer="0.3"/>
  <pageSetup firstPageNumber="0" orientation="portrait" useFirstPageNumber="1" r:id="rId1"/>
  <headerFooter>
    <oddHeader>&amp;L&amp;"Times New Roman"&amp;9INSURANCE SERVICES OFFICE, INC.</oddHeader>
    <oddFooter>&amp;C&amp;"Times New Roman"&amp;9© Insurance Services Office, Inc., 2022        		OREGON        BP-2021-RLA1&amp;R&amp;"Times New Roman"&amp;9&amp;A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D9F3BC-3360-496E-83BE-4159D5A4B574}">
  <dimension ref="A1:E26"/>
  <sheetViews>
    <sheetView zoomScaleNormal="100" workbookViewId="0">
      <selection sqref="A1:E1"/>
    </sheetView>
  </sheetViews>
  <sheetFormatPr defaultRowHeight="13.15" x14ac:dyDescent="0.4"/>
  <cols>
    <col min="1" max="2" width="9.06640625" style="2"/>
    <col min="3" max="3" width="16" style="2" customWidth="1"/>
    <col min="4" max="4" width="13.265625" style="2" customWidth="1"/>
    <col min="5" max="5" width="9.06640625" style="2"/>
    <col min="6" max="16384" width="9.06640625" style="84"/>
  </cols>
  <sheetData>
    <row r="1" spans="1:5" x14ac:dyDescent="0.4">
      <c r="A1" s="240" t="str">
        <f>UPPER(state)</f>
        <v>OREGON</v>
      </c>
      <c r="B1" s="240"/>
      <c r="C1" s="240"/>
      <c r="D1" s="240"/>
      <c r="E1" s="240"/>
    </row>
    <row r="3" spans="1:5" x14ac:dyDescent="0.4">
      <c r="A3" s="241" t="s">
        <v>153</v>
      </c>
      <c r="B3" s="241"/>
      <c r="C3" s="241"/>
      <c r="D3" s="241"/>
      <c r="E3" s="241"/>
    </row>
    <row r="5" spans="1:5" x14ac:dyDescent="0.4">
      <c r="A5" s="241" t="s">
        <v>611</v>
      </c>
      <c r="B5" s="241"/>
      <c r="C5" s="241"/>
      <c r="D5" s="241"/>
      <c r="E5" s="241"/>
    </row>
    <row r="7" spans="1:5" x14ac:dyDescent="0.4">
      <c r="A7" s="241" t="s">
        <v>612</v>
      </c>
      <c r="B7" s="241"/>
      <c r="C7" s="241"/>
      <c r="D7" s="241"/>
      <c r="E7" s="241"/>
    </row>
    <row r="9" spans="1:5" x14ac:dyDescent="0.4">
      <c r="C9" s="231" t="s">
        <v>206</v>
      </c>
      <c r="D9" s="231" t="s">
        <v>207</v>
      </c>
      <c r="E9" s="231" t="s">
        <v>208</v>
      </c>
    </row>
    <row r="10" spans="1:5" x14ac:dyDescent="0.4">
      <c r="A10" s="42"/>
      <c r="B10" s="42"/>
      <c r="C10" s="42"/>
      <c r="D10" s="42" t="s">
        <v>613</v>
      </c>
      <c r="E10" s="42" t="s">
        <v>614</v>
      </c>
    </row>
    <row r="11" spans="1:5" x14ac:dyDescent="0.4">
      <c r="A11" s="66" t="s">
        <v>172</v>
      </c>
      <c r="B11" s="52" t="s">
        <v>286</v>
      </c>
      <c r="C11" s="52" t="s">
        <v>421</v>
      </c>
      <c r="D11" s="52" t="s">
        <v>615</v>
      </c>
      <c r="E11" s="52" t="s">
        <v>616</v>
      </c>
    </row>
    <row r="13" spans="1:5" x14ac:dyDescent="0.4">
      <c r="A13" s="2" t="s">
        <v>618</v>
      </c>
      <c r="B13" s="2" t="s">
        <v>138</v>
      </c>
      <c r="C13" s="190">
        <v>68788520</v>
      </c>
      <c r="D13" s="190">
        <v>3894089</v>
      </c>
      <c r="E13" s="235">
        <f>+IF(AND(C13=0,D13=0),0.1,IF(D13/C13&lt;0.1,0.1,IF(D13/C13&gt;0.5,0.5,ROUND(D13/C13/0.05,0)*0.05)))</f>
        <v>0.1</v>
      </c>
    </row>
    <row r="14" spans="1:5" x14ac:dyDescent="0.4">
      <c r="B14" s="2" t="s">
        <v>291</v>
      </c>
      <c r="C14" s="190">
        <v>35913647</v>
      </c>
      <c r="D14" s="190">
        <v>224541</v>
      </c>
      <c r="E14" s="235">
        <f>+IF(AND(C14=0,D14=0),0.05,IF(D14/C14&lt;0.05,0.05,IF(D14/C14&gt;0.5,0.5,ROUND(D14/C14/0.05,0)*0.05)))</f>
        <v>0.05</v>
      </c>
    </row>
    <row r="15" spans="1:5" x14ac:dyDescent="0.4">
      <c r="C15" s="191"/>
      <c r="D15" s="191"/>
      <c r="E15" s="235"/>
    </row>
    <row r="16" spans="1:5" x14ac:dyDescent="0.4">
      <c r="C16" s="191"/>
      <c r="D16" s="191"/>
      <c r="E16" s="235"/>
    </row>
    <row r="17" spans="3:5" x14ac:dyDescent="0.4">
      <c r="C17" s="191"/>
      <c r="D17" s="191"/>
      <c r="E17" s="235"/>
    </row>
    <row r="18" spans="3:5" x14ac:dyDescent="0.4">
      <c r="C18" s="191"/>
      <c r="D18" s="191"/>
      <c r="E18" s="235"/>
    </row>
    <row r="19" spans="3:5" x14ac:dyDescent="0.4">
      <c r="C19" s="191"/>
      <c r="D19" s="191"/>
      <c r="E19" s="235"/>
    </row>
    <row r="20" spans="3:5" x14ac:dyDescent="0.4">
      <c r="C20" s="191"/>
      <c r="D20" s="191"/>
      <c r="E20" s="235"/>
    </row>
    <row r="21" spans="3:5" x14ac:dyDescent="0.4">
      <c r="C21" s="191"/>
      <c r="D21" s="191"/>
      <c r="E21" s="235"/>
    </row>
    <row r="22" spans="3:5" x14ac:dyDescent="0.4">
      <c r="C22" s="191"/>
      <c r="D22" s="191"/>
      <c r="E22" s="235"/>
    </row>
    <row r="23" spans="3:5" x14ac:dyDescent="0.4">
      <c r="C23" s="191"/>
      <c r="D23" s="191"/>
      <c r="E23" s="235"/>
    </row>
    <row r="24" spans="3:5" x14ac:dyDescent="0.4">
      <c r="C24" s="191"/>
      <c r="D24" s="191"/>
      <c r="E24" s="235"/>
    </row>
    <row r="25" spans="3:5" x14ac:dyDescent="0.4">
      <c r="C25" s="191"/>
      <c r="D25" s="191"/>
      <c r="E25" s="235"/>
    </row>
    <row r="26" spans="3:5" x14ac:dyDescent="0.4">
      <c r="C26" s="191"/>
      <c r="D26" s="191"/>
      <c r="E26" s="235"/>
    </row>
  </sheetData>
  <mergeCells count="4">
    <mergeCell ref="A1:E1"/>
    <mergeCell ref="A3:E3"/>
    <mergeCell ref="A5:E5"/>
    <mergeCell ref="A7:E7"/>
  </mergeCells>
  <printOptions horizontalCentered="1"/>
  <pageMargins left="0.7" right="0.7" top="0.75" bottom="0.75" header="0.3" footer="0.3"/>
  <pageSetup firstPageNumber="0" orientation="portrait" useFirstPageNumber="1" r:id="rId1"/>
  <headerFooter>
    <oddHeader>&amp;L&amp;"Times New Roman,Regular"&amp;9INSURANCE SERVICES OFFICE, INC.</oddHeader>
    <oddFooter>&amp;C&amp;"Times New Roman"&amp;9© Insurance Services Office, Inc., 2022        		OREGON        BP-2021-RLA1&amp;R&amp;"Times New Roman"&amp;9&amp;A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FE0F4B-717D-4D7A-B466-E0E6FBE11437}">
  <dimension ref="A1:K43"/>
  <sheetViews>
    <sheetView workbookViewId="0">
      <selection sqref="A1:J1"/>
    </sheetView>
  </sheetViews>
  <sheetFormatPr defaultColWidth="9.1328125" defaultRowHeight="13.15" x14ac:dyDescent="0.4"/>
  <cols>
    <col min="1" max="1" width="5.3984375" style="2" customWidth="1"/>
    <col min="2" max="2" width="9.1328125" style="2"/>
    <col min="3" max="3" width="7.3984375" style="2" customWidth="1"/>
    <col min="4" max="4" width="7.86328125" style="2" customWidth="1"/>
    <col min="5" max="5" width="13.265625" style="2" customWidth="1"/>
    <col min="6" max="6" width="10" style="2" customWidth="1"/>
    <col min="7" max="7" width="5" style="2" customWidth="1"/>
    <col min="8" max="8" width="6.73046875" style="2" customWidth="1"/>
    <col min="9" max="9" width="4.265625" style="2" customWidth="1"/>
    <col min="10" max="10" width="7.3984375" style="2" customWidth="1"/>
    <col min="11" max="11" width="0" style="2" hidden="1" customWidth="1"/>
    <col min="12" max="16384" width="9.1328125" style="2"/>
  </cols>
  <sheetData>
    <row r="1" spans="1:11" x14ac:dyDescent="0.4">
      <c r="A1" s="240" t="str">
        <f>UPPER(state)</f>
        <v>OREGON</v>
      </c>
      <c r="B1" s="240"/>
      <c r="C1" s="240"/>
      <c r="D1" s="240"/>
      <c r="E1" s="240"/>
      <c r="F1" s="240"/>
      <c r="G1" s="240"/>
      <c r="H1" s="240"/>
      <c r="I1" s="240"/>
      <c r="J1" s="240"/>
    </row>
    <row r="2" spans="1:11" x14ac:dyDescent="0.4">
      <c r="A2" s="239"/>
      <c r="B2" s="239"/>
      <c r="C2" s="239"/>
      <c r="D2" s="239"/>
      <c r="E2" s="239"/>
      <c r="F2" s="239"/>
      <c r="G2" s="239"/>
      <c r="H2" s="239"/>
      <c r="I2" s="239"/>
      <c r="J2" s="239"/>
    </row>
    <row r="3" spans="1:11" x14ac:dyDescent="0.4">
      <c r="A3" s="241" t="s">
        <v>153</v>
      </c>
      <c r="B3" s="241"/>
      <c r="C3" s="241"/>
      <c r="D3" s="241"/>
      <c r="E3" s="241"/>
      <c r="F3" s="241"/>
      <c r="G3" s="241"/>
      <c r="H3" s="241"/>
      <c r="I3" s="241"/>
      <c r="J3" s="241"/>
    </row>
    <row r="4" spans="1:11" x14ac:dyDescent="0.4">
      <c r="A4" s="239"/>
      <c r="B4" s="239"/>
      <c r="C4" s="239"/>
      <c r="D4" s="239"/>
      <c r="E4" s="239"/>
      <c r="F4" s="239"/>
      <c r="G4" s="239"/>
      <c r="H4" s="239"/>
      <c r="I4" s="239"/>
      <c r="J4" s="239"/>
    </row>
    <row r="5" spans="1:11" x14ac:dyDescent="0.4">
      <c r="A5" s="241" t="s">
        <v>178</v>
      </c>
      <c r="B5" s="241"/>
      <c r="C5" s="241"/>
      <c r="D5" s="241"/>
      <c r="E5" s="241"/>
      <c r="F5" s="241"/>
      <c r="G5" s="241"/>
      <c r="H5" s="241"/>
      <c r="I5" s="241"/>
      <c r="J5" s="241"/>
    </row>
    <row r="6" spans="1:11" x14ac:dyDescent="0.4">
      <c r="A6" s="239"/>
      <c r="B6" s="239"/>
      <c r="C6" s="239"/>
      <c r="D6" s="239"/>
      <c r="E6" s="239"/>
      <c r="F6" s="239"/>
      <c r="G6" s="239"/>
      <c r="H6" s="239"/>
      <c r="I6" s="239"/>
      <c r="J6" s="239"/>
    </row>
    <row r="7" spans="1:11" x14ac:dyDescent="0.4">
      <c r="A7" s="241" t="s">
        <v>169</v>
      </c>
      <c r="B7" s="241"/>
      <c r="C7" s="241"/>
      <c r="D7" s="241"/>
      <c r="E7" s="241"/>
      <c r="F7" s="241"/>
      <c r="G7" s="241"/>
      <c r="H7" s="241"/>
      <c r="I7" s="241"/>
      <c r="J7" s="241"/>
    </row>
    <row r="8" spans="1:11" x14ac:dyDescent="0.4">
      <c r="A8" s="239"/>
      <c r="B8" s="239"/>
      <c r="C8" s="239"/>
      <c r="D8" s="239"/>
      <c r="E8" s="239"/>
      <c r="F8" s="239"/>
      <c r="G8" s="239"/>
      <c r="H8" s="239"/>
      <c r="I8" s="239"/>
      <c r="J8" s="239"/>
    </row>
    <row r="9" spans="1:11" x14ac:dyDescent="0.4">
      <c r="A9" s="241" t="s">
        <v>179</v>
      </c>
      <c r="B9" s="241"/>
      <c r="C9" s="241"/>
      <c r="D9" s="241"/>
      <c r="E9" s="241"/>
      <c r="F9" s="241"/>
      <c r="G9" s="241"/>
      <c r="H9" s="241"/>
      <c r="I9" s="241"/>
      <c r="J9" s="241"/>
    </row>
    <row r="10" spans="1:11" x14ac:dyDescent="0.4">
      <c r="A10" s="242" t="s">
        <v>180</v>
      </c>
      <c r="B10" s="242"/>
      <c r="C10" s="242"/>
      <c r="D10" s="242"/>
    </row>
    <row r="11" spans="1:11" x14ac:dyDescent="0.4">
      <c r="D11" s="241" t="s">
        <v>157</v>
      </c>
      <c r="E11" s="241"/>
      <c r="F11" s="241"/>
      <c r="G11" s="241" t="s">
        <v>171</v>
      </c>
      <c r="H11" s="241"/>
      <c r="I11" s="241"/>
      <c r="J11" s="47"/>
    </row>
    <row r="12" spans="1:11" x14ac:dyDescent="0.4">
      <c r="B12" s="52" t="s">
        <v>172</v>
      </c>
      <c r="D12" s="243" t="s">
        <v>158</v>
      </c>
      <c r="E12" s="243"/>
      <c r="F12" s="243"/>
      <c r="G12" s="243" t="s">
        <v>173</v>
      </c>
      <c r="H12" s="243"/>
      <c r="I12" s="243"/>
    </row>
    <row r="14" spans="1:11" x14ac:dyDescent="0.4">
      <c r="B14" s="42">
        <v>701</v>
      </c>
      <c r="E14" s="53">
        <v>714065</v>
      </c>
      <c r="H14" s="54">
        <v>0</v>
      </c>
      <c r="I14" s="2" t="s">
        <v>174</v>
      </c>
      <c r="K14" s="2">
        <v>0</v>
      </c>
    </row>
    <row r="15" spans="1:11" x14ac:dyDescent="0.4">
      <c r="B15" s="42">
        <v>702</v>
      </c>
      <c r="E15" s="53">
        <v>1528909</v>
      </c>
      <c r="H15" s="54">
        <v>0</v>
      </c>
      <c r="I15" s="2" t="s">
        <v>174</v>
      </c>
    </row>
    <row r="16" spans="1:11" x14ac:dyDescent="0.4">
      <c r="B16" s="42"/>
      <c r="E16" s="55"/>
      <c r="H16" s="56"/>
    </row>
    <row r="17" spans="1:11" x14ac:dyDescent="0.4">
      <c r="B17" s="42" t="s">
        <v>175</v>
      </c>
      <c r="E17" s="57">
        <f>SUM(E14:E15)</f>
        <v>2242974</v>
      </c>
      <c r="H17" s="58">
        <f>ROUND(SUMPRODUCT(E14:E15,H14:H15)/E17,3)</f>
        <v>0</v>
      </c>
    </row>
    <row r="19" spans="1:11" x14ac:dyDescent="0.4">
      <c r="A19" s="242" t="s">
        <v>181</v>
      </c>
      <c r="B19" s="242"/>
      <c r="C19" s="242"/>
      <c r="D19" s="242"/>
    </row>
    <row r="20" spans="1:11" x14ac:dyDescent="0.4">
      <c r="D20" s="241" t="s">
        <v>157</v>
      </c>
      <c r="E20" s="241"/>
      <c r="F20" s="241"/>
      <c r="G20" s="241" t="s">
        <v>171</v>
      </c>
      <c r="H20" s="241"/>
      <c r="I20" s="241"/>
      <c r="J20" s="47"/>
    </row>
    <row r="21" spans="1:11" x14ac:dyDescent="0.4">
      <c r="B21" s="52" t="s">
        <v>172</v>
      </c>
      <c r="D21" s="243" t="s">
        <v>158</v>
      </c>
      <c r="E21" s="243"/>
      <c r="F21" s="243"/>
      <c r="G21" s="243" t="s">
        <v>173</v>
      </c>
      <c r="H21" s="243"/>
      <c r="I21" s="243"/>
    </row>
    <row r="23" spans="1:11" x14ac:dyDescent="0.4">
      <c r="B23" s="42">
        <v>701</v>
      </c>
      <c r="E23" s="53">
        <v>533506</v>
      </c>
      <c r="H23" s="54">
        <v>-9.8000000000000004E-2</v>
      </c>
      <c r="I23" s="2" t="s">
        <v>174</v>
      </c>
      <c r="K23" s="2">
        <v>0</v>
      </c>
    </row>
    <row r="24" spans="1:11" x14ac:dyDescent="0.4">
      <c r="B24" s="42">
        <v>702</v>
      </c>
      <c r="E24" s="53">
        <v>1645532</v>
      </c>
      <c r="H24" s="54">
        <v>-0.105</v>
      </c>
      <c r="I24" s="2" t="s">
        <v>174</v>
      </c>
    </row>
    <row r="25" spans="1:11" x14ac:dyDescent="0.4">
      <c r="E25" s="42"/>
      <c r="H25" s="56"/>
    </row>
    <row r="26" spans="1:11" x14ac:dyDescent="0.4">
      <c r="B26" s="42" t="s">
        <v>175</v>
      </c>
      <c r="E26" s="57">
        <f>SUM(E23:E24)</f>
        <v>2179038</v>
      </c>
      <c r="H26" s="58">
        <f>ROUND(SUMPRODUCT(E23:E24,H23:H24)/E26,3)</f>
        <v>-0.10299999999999999</v>
      </c>
      <c r="K26" s="2">
        <f>SUM(K14:K25)</f>
        <v>0</v>
      </c>
    </row>
    <row r="28" spans="1:11" x14ac:dyDescent="0.4">
      <c r="A28" s="242" t="s">
        <v>163</v>
      </c>
      <c r="B28" s="242"/>
      <c r="C28" s="242"/>
      <c r="D28" s="242"/>
    </row>
    <row r="29" spans="1:11" x14ac:dyDescent="0.4">
      <c r="D29" s="241" t="s">
        <v>157</v>
      </c>
      <c r="E29" s="241"/>
      <c r="F29" s="241"/>
      <c r="G29" s="241" t="s">
        <v>171</v>
      </c>
      <c r="H29" s="241"/>
      <c r="I29" s="241"/>
      <c r="J29" s="47"/>
    </row>
    <row r="30" spans="1:11" x14ac:dyDescent="0.4">
      <c r="B30" s="52" t="s">
        <v>172</v>
      </c>
      <c r="D30" s="243" t="s">
        <v>158</v>
      </c>
      <c r="E30" s="243"/>
      <c r="F30" s="243"/>
      <c r="G30" s="243" t="s">
        <v>173</v>
      </c>
      <c r="H30" s="243"/>
      <c r="I30" s="243"/>
    </row>
    <row r="32" spans="1:11" x14ac:dyDescent="0.4">
      <c r="B32" s="42">
        <v>701</v>
      </c>
      <c r="E32" s="59">
        <f>E14+E23</f>
        <v>1247571</v>
      </c>
      <c r="H32" s="58">
        <f>ROUND(((E14*H14)+(E23*H23))/E32,3)</f>
        <v>-4.2000000000000003E-2</v>
      </c>
    </row>
    <row r="33" spans="2:9" x14ac:dyDescent="0.4">
      <c r="B33" s="42">
        <v>702</v>
      </c>
      <c r="E33" s="59">
        <f>E15+E24</f>
        <v>3174441</v>
      </c>
      <c r="H33" s="58">
        <f>ROUND(((E15*H15)+(E24*H24))/E33,3)</f>
        <v>-5.3999999999999999E-2</v>
      </c>
    </row>
    <row r="34" spans="2:9" x14ac:dyDescent="0.4">
      <c r="E34" s="42"/>
      <c r="H34" s="56"/>
    </row>
    <row r="35" spans="2:9" x14ac:dyDescent="0.4">
      <c r="B35" s="42" t="s">
        <v>175</v>
      </c>
      <c r="E35" s="57">
        <f>SUM(E32:E33)</f>
        <v>4422012</v>
      </c>
      <c r="H35" s="58">
        <f>ROUND(SUMPRODUCT(E32:E33,H32:H33)/E35,3)</f>
        <v>-5.0999999999999997E-2</v>
      </c>
      <c r="I35" s="2" t="str">
        <f>IF(ROUND(LessorSWLCChange,3)=ROUND('EXHIBIT B1-2'!H33,3),"","#")</f>
        <v>#</v>
      </c>
    </row>
    <row r="37" spans="2:9" x14ac:dyDescent="0.4">
      <c r="B37" s="2" t="s">
        <v>174</v>
      </c>
    </row>
    <row r="39" spans="2:9" x14ac:dyDescent="0.4">
      <c r="B39" s="61" t="str">
        <f>IF(I35=" "," ","#  Due to rounding of the loss costs to three decimal places, this change varies from")</f>
        <v>#  Due to rounding of the loss costs to three decimal places, this change varies from</v>
      </c>
    </row>
    <row r="40" spans="2:9" x14ac:dyDescent="0.4">
      <c r="B40" s="61" t="str">
        <f>IF(I35=" "," ","     the overall statewide change on Exhibit B1-2.")</f>
        <v xml:space="preserve">     the overall statewide change on Exhibit B1-2.</v>
      </c>
    </row>
    <row r="42" spans="2:9" x14ac:dyDescent="0.4">
      <c r="B42" s="61" t="s">
        <v>174</v>
      </c>
    </row>
    <row r="43" spans="2:9" x14ac:dyDescent="0.4">
      <c r="B43" s="61" t="str">
        <f>IF(K26&gt;0,"      to the loss costs."," ")</f>
        <v xml:space="preserve"> </v>
      </c>
    </row>
  </sheetData>
  <mergeCells count="24">
    <mergeCell ref="A28:D28"/>
    <mergeCell ref="D29:F29"/>
    <mergeCell ref="G29:I29"/>
    <mergeCell ref="D30:F30"/>
    <mergeCell ref="G30:I30"/>
    <mergeCell ref="D21:F21"/>
    <mergeCell ref="G21:I21"/>
    <mergeCell ref="A7:J7"/>
    <mergeCell ref="A8:J8"/>
    <mergeCell ref="A9:J9"/>
    <mergeCell ref="A10:D10"/>
    <mergeCell ref="D11:F11"/>
    <mergeCell ref="G11:I11"/>
    <mergeCell ref="D12:F12"/>
    <mergeCell ref="G12:I12"/>
    <mergeCell ref="A19:D19"/>
    <mergeCell ref="D20:F20"/>
    <mergeCell ref="G20:I20"/>
    <mergeCell ref="A6:J6"/>
    <mergeCell ref="A1:J1"/>
    <mergeCell ref="A2:J2"/>
    <mergeCell ref="A3:J3"/>
    <mergeCell ref="A4:J4"/>
    <mergeCell ref="A5:J5"/>
  </mergeCells>
  <printOptions horizontalCentered="1"/>
  <pageMargins left="0.7" right="0.7" top="0.38" bottom="0.4" header="0.3" footer="0.3"/>
  <pageSetup firstPageNumber="0" orientation="portrait" useFirstPageNumber="1" r:id="rId1"/>
  <headerFooter>
    <oddHeader>&amp;L&amp;"Times New Roman"&amp;9INSURANCE SERVICES OFFICE, INC.</oddHeader>
    <oddFooter>&amp;C&amp;"Times New Roman"&amp;9© Insurance Services Office, Inc., 2022        		OREGON        BP-2021-RLA1&amp;R&amp;"Times New Roman"&amp;9&amp;A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1AD37B-2EAF-428B-AC15-8A561420B9CF}">
  <dimension ref="A1:K32"/>
  <sheetViews>
    <sheetView workbookViewId="0">
      <selection sqref="A1:J1"/>
    </sheetView>
  </sheetViews>
  <sheetFormatPr defaultColWidth="9.1328125" defaultRowHeight="13.15" x14ac:dyDescent="0.4"/>
  <cols>
    <col min="1" max="1" width="5.3984375" style="2" customWidth="1"/>
    <col min="2" max="3" width="9.1328125" style="2"/>
    <col min="4" max="4" width="11.265625" style="2" customWidth="1"/>
    <col min="5" max="5" width="6.86328125" style="2" customWidth="1"/>
    <col min="6" max="6" width="5.3984375" style="2" customWidth="1"/>
    <col min="7" max="7" width="6.1328125" style="2" customWidth="1"/>
    <col min="8" max="9" width="5.3984375" style="2" customWidth="1"/>
    <col min="10" max="10" width="7.3984375" style="2" customWidth="1"/>
    <col min="11" max="11" width="5.3984375" style="2" customWidth="1"/>
    <col min="12" max="16384" width="9.1328125" style="2"/>
  </cols>
  <sheetData>
    <row r="1" spans="1:10" x14ac:dyDescent="0.4">
      <c r="A1" s="240" t="str">
        <f>UPPER(state)</f>
        <v>OREGON</v>
      </c>
      <c r="B1" s="240"/>
      <c r="C1" s="240"/>
      <c r="D1" s="240"/>
      <c r="E1" s="240"/>
      <c r="F1" s="240"/>
      <c r="G1" s="240"/>
      <c r="H1" s="240"/>
      <c r="I1" s="240"/>
      <c r="J1" s="240"/>
    </row>
    <row r="2" spans="1:10" x14ac:dyDescent="0.4">
      <c r="A2" s="239"/>
      <c r="B2" s="239"/>
      <c r="C2" s="239"/>
      <c r="D2" s="239"/>
      <c r="E2" s="239"/>
      <c r="F2" s="239"/>
      <c r="G2" s="239"/>
      <c r="H2" s="239"/>
      <c r="I2" s="239"/>
      <c r="J2" s="239"/>
    </row>
    <row r="3" spans="1:10" x14ac:dyDescent="0.4">
      <c r="A3" s="241" t="s">
        <v>153</v>
      </c>
      <c r="B3" s="241"/>
      <c r="C3" s="241"/>
      <c r="D3" s="241"/>
      <c r="E3" s="241"/>
      <c r="F3" s="241"/>
      <c r="G3" s="241"/>
      <c r="H3" s="241"/>
      <c r="I3" s="241"/>
      <c r="J3" s="241"/>
    </row>
    <row r="4" spans="1:10" x14ac:dyDescent="0.4">
      <c r="A4" s="239"/>
      <c r="B4" s="239"/>
      <c r="C4" s="239"/>
      <c r="D4" s="239"/>
      <c r="E4" s="239"/>
      <c r="F4" s="239"/>
      <c r="G4" s="239"/>
      <c r="H4" s="239"/>
      <c r="I4" s="239"/>
      <c r="J4" s="239"/>
    </row>
    <row r="5" spans="1:10" x14ac:dyDescent="0.4">
      <c r="A5" s="241" t="s">
        <v>182</v>
      </c>
      <c r="B5" s="241"/>
      <c r="C5" s="241"/>
      <c r="D5" s="241"/>
      <c r="E5" s="241"/>
      <c r="F5" s="241"/>
      <c r="G5" s="241"/>
      <c r="H5" s="241"/>
      <c r="I5" s="241"/>
      <c r="J5" s="241"/>
    </row>
    <row r="6" spans="1:10" x14ac:dyDescent="0.4">
      <c r="A6" s="239"/>
      <c r="B6" s="239"/>
      <c r="C6" s="239"/>
      <c r="D6" s="239"/>
      <c r="E6" s="239"/>
      <c r="F6" s="239"/>
      <c r="G6" s="239"/>
      <c r="H6" s="239"/>
      <c r="I6" s="239"/>
      <c r="J6" s="239"/>
    </row>
    <row r="7" spans="1:10" x14ac:dyDescent="0.4">
      <c r="A7" s="241" t="s">
        <v>169</v>
      </c>
      <c r="B7" s="241"/>
      <c r="C7" s="241"/>
      <c r="D7" s="241"/>
      <c r="E7" s="241"/>
      <c r="F7" s="241"/>
      <c r="G7" s="241"/>
      <c r="H7" s="241"/>
      <c r="I7" s="241"/>
      <c r="J7" s="241"/>
    </row>
    <row r="8" spans="1:10" x14ac:dyDescent="0.4">
      <c r="A8" s="239"/>
      <c r="B8" s="239"/>
      <c r="C8" s="239"/>
      <c r="D8" s="239"/>
      <c r="E8" s="239"/>
      <c r="F8" s="239"/>
      <c r="G8" s="239"/>
      <c r="H8" s="239"/>
      <c r="I8" s="239"/>
      <c r="J8" s="239"/>
    </row>
    <row r="9" spans="1:10" x14ac:dyDescent="0.4">
      <c r="A9" s="239"/>
      <c r="B9" s="239"/>
      <c r="C9" s="239"/>
      <c r="D9" s="239"/>
      <c r="E9" s="239"/>
      <c r="F9" s="239"/>
      <c r="G9" s="239"/>
      <c r="H9" s="239"/>
      <c r="I9" s="239"/>
      <c r="J9" s="239"/>
    </row>
    <row r="10" spans="1:10" x14ac:dyDescent="0.4">
      <c r="A10" s="239"/>
      <c r="B10" s="239"/>
      <c r="C10" s="239"/>
      <c r="D10" s="239"/>
      <c r="E10" s="239"/>
      <c r="F10" s="239"/>
      <c r="G10" s="239"/>
      <c r="H10" s="239"/>
      <c r="I10" s="239"/>
      <c r="J10" s="239"/>
    </row>
    <row r="11" spans="1:10" x14ac:dyDescent="0.4">
      <c r="D11" s="241" t="s">
        <v>183</v>
      </c>
      <c r="E11" s="241"/>
      <c r="F11" s="241"/>
    </row>
    <row r="13" spans="1:10" x14ac:dyDescent="0.4">
      <c r="A13" s="41"/>
      <c r="D13" s="42" t="s">
        <v>156</v>
      </c>
    </row>
    <row r="14" spans="1:10" x14ac:dyDescent="0.4">
      <c r="D14" s="42" t="s">
        <v>157</v>
      </c>
      <c r="F14" s="241" t="s">
        <v>171</v>
      </c>
      <c r="G14" s="241"/>
      <c r="H14" s="241"/>
      <c r="J14" s="47"/>
    </row>
    <row r="15" spans="1:10" x14ac:dyDescent="0.4">
      <c r="B15" s="41"/>
      <c r="D15" s="52" t="s">
        <v>158</v>
      </c>
      <c r="E15" s="41"/>
      <c r="F15" s="243" t="s">
        <v>173</v>
      </c>
      <c r="G15" s="243"/>
      <c r="H15" s="243"/>
      <c r="I15" s="41"/>
    </row>
    <row r="17" spans="1:11" x14ac:dyDescent="0.4">
      <c r="B17" s="42" t="s">
        <v>175</v>
      </c>
      <c r="D17" s="53">
        <v>658922</v>
      </c>
      <c r="E17" s="53"/>
      <c r="G17" s="63">
        <f>'EXHIBIT B1-3'!H34</f>
        <v>-6.2999999999999945E-2</v>
      </c>
      <c r="H17" s="58"/>
    </row>
    <row r="19" spans="1:11" x14ac:dyDescent="0.4">
      <c r="A19" s="41"/>
    </row>
    <row r="21" spans="1:11" x14ac:dyDescent="0.4">
      <c r="E21" s="42" t="s">
        <v>184</v>
      </c>
    </row>
    <row r="23" spans="1:11" x14ac:dyDescent="0.4">
      <c r="A23" s="41"/>
      <c r="D23" s="42" t="s">
        <v>156</v>
      </c>
    </row>
    <row r="24" spans="1:11" x14ac:dyDescent="0.4">
      <c r="D24" s="42" t="s">
        <v>157</v>
      </c>
      <c r="F24" s="241" t="s">
        <v>185</v>
      </c>
      <c r="G24" s="241"/>
      <c r="H24" s="241"/>
      <c r="I24" s="241" t="s">
        <v>186</v>
      </c>
      <c r="J24" s="241"/>
      <c r="K24" s="241"/>
    </row>
    <row r="25" spans="1:11" x14ac:dyDescent="0.4">
      <c r="B25" s="41"/>
      <c r="D25" s="52" t="s">
        <v>158</v>
      </c>
      <c r="E25" s="41"/>
      <c r="F25" s="243" t="s">
        <v>173</v>
      </c>
      <c r="G25" s="243"/>
      <c r="H25" s="243"/>
      <c r="I25" s="243" t="s">
        <v>187</v>
      </c>
      <c r="J25" s="243"/>
      <c r="K25" s="243"/>
    </row>
    <row r="27" spans="1:11" x14ac:dyDescent="0.4">
      <c r="B27" s="42" t="s">
        <v>175</v>
      </c>
      <c r="D27" s="53">
        <v>390173</v>
      </c>
      <c r="E27" s="53"/>
      <c r="F27" s="64"/>
      <c r="G27" s="63">
        <f>PayrollIndChange</f>
        <v>4.8999999999999932E-2</v>
      </c>
      <c r="H27" s="58"/>
      <c r="J27" s="60">
        <f>ROUND((1+G27) * 0.935,3) - 1</f>
        <v>-1.9000000000000017E-2</v>
      </c>
    </row>
    <row r="30" spans="1:11" x14ac:dyDescent="0.4">
      <c r="B30" s="2" t="s">
        <v>188</v>
      </c>
    </row>
    <row r="31" spans="1:11" x14ac:dyDescent="0.4">
      <c r="B31" s="61" t="s">
        <v>189</v>
      </c>
    </row>
    <row r="32" spans="1:11" x14ac:dyDescent="0.4">
      <c r="B32" s="61" t="s">
        <v>190</v>
      </c>
    </row>
  </sheetData>
  <mergeCells count="17">
    <mergeCell ref="F15:H15"/>
    <mergeCell ref="F24:H24"/>
    <mergeCell ref="I24:K24"/>
    <mergeCell ref="F25:H25"/>
    <mergeCell ref="I25:K25"/>
    <mergeCell ref="F14:H14"/>
    <mergeCell ref="A1:J1"/>
    <mergeCell ref="A2:J2"/>
    <mergeCell ref="A3:J3"/>
    <mergeCell ref="A4:J4"/>
    <mergeCell ref="A5:J5"/>
    <mergeCell ref="A6:J6"/>
    <mergeCell ref="A7:J7"/>
    <mergeCell ref="A8:J8"/>
    <mergeCell ref="A9:J9"/>
    <mergeCell ref="A10:J10"/>
    <mergeCell ref="D11:F11"/>
  </mergeCells>
  <printOptions horizontalCentered="1"/>
  <pageMargins left="0.7" right="0.7" top="0.75" bottom="0.75" header="0.3" footer="0.3"/>
  <pageSetup firstPageNumber="0" orientation="portrait" useFirstPageNumber="1" r:id="rId1"/>
  <headerFooter>
    <oddHeader>&amp;L&amp;"Times New Roman"&amp;9INSURANCE SERVICES OFFICE, INC.</oddHeader>
    <oddFooter>&amp;C&amp;"Times New Roman"&amp;9© Insurance Services Office, Inc., 2022        		OREGON        BP-2021-RLA1&amp;R&amp;"Times New Roman"&amp;9&amp;A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C8EAD-0C99-4A1D-B00F-830F263A7C51}">
  <dimension ref="A1:O40"/>
  <sheetViews>
    <sheetView workbookViewId="0">
      <selection sqref="A1:M1"/>
    </sheetView>
  </sheetViews>
  <sheetFormatPr defaultColWidth="9.1328125" defaultRowHeight="13.15" x14ac:dyDescent="0.4"/>
  <cols>
    <col min="1" max="1" width="9.1328125" style="2"/>
    <col min="2" max="2" width="4" style="2" customWidth="1"/>
    <col min="3" max="3" width="9.1328125" style="2"/>
    <col min="4" max="4" width="4.59765625" style="2" customWidth="1"/>
    <col min="5" max="5" width="8.1328125" style="2" customWidth="1"/>
    <col min="6" max="6" width="3.73046875" style="2" customWidth="1"/>
    <col min="7" max="7" width="4" style="2" customWidth="1"/>
    <col min="8" max="8" width="9.1328125" style="2"/>
    <col min="9" max="9" width="3.86328125" style="2" customWidth="1"/>
    <col min="10" max="10" width="9.1328125" style="2"/>
    <col min="11" max="11" width="5.1328125" style="2" customWidth="1"/>
    <col min="12" max="12" width="8.1328125" style="2" customWidth="1"/>
    <col min="13" max="13" width="9.3984375" style="2" bestFit="1" customWidth="1"/>
    <col min="14" max="16384" width="9.1328125" style="2"/>
  </cols>
  <sheetData>
    <row r="1" spans="1:13" x14ac:dyDescent="0.4">
      <c r="A1" s="240" t="str">
        <f>UPPER(state)</f>
        <v>OREGON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</row>
    <row r="2" spans="1:13" x14ac:dyDescent="0.4">
      <c r="A2" s="241"/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</row>
    <row r="3" spans="1:13" x14ac:dyDescent="0.4">
      <c r="A3" s="241" t="s">
        <v>153</v>
      </c>
      <c r="B3" s="241"/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</row>
    <row r="4" spans="1:13" x14ac:dyDescent="0.4">
      <c r="A4" s="241"/>
      <c r="B4" s="241"/>
      <c r="C4" s="241"/>
      <c r="D4" s="241"/>
      <c r="E4" s="241"/>
      <c r="F4" s="241"/>
      <c r="G4" s="241"/>
      <c r="H4" s="241"/>
      <c r="I4" s="241"/>
      <c r="J4" s="241"/>
      <c r="K4" s="241"/>
      <c r="L4" s="241"/>
      <c r="M4" s="241"/>
    </row>
    <row r="5" spans="1:13" x14ac:dyDescent="0.4">
      <c r="A5" s="241" t="s">
        <v>191</v>
      </c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</row>
    <row r="6" spans="1:13" x14ac:dyDescent="0.4">
      <c r="A6" s="241"/>
      <c r="B6" s="241"/>
      <c r="C6" s="241"/>
      <c r="D6" s="241"/>
      <c r="E6" s="241"/>
      <c r="F6" s="241"/>
      <c r="G6" s="241"/>
      <c r="H6" s="241"/>
      <c r="I6" s="241"/>
      <c r="J6" s="241"/>
      <c r="K6" s="241"/>
      <c r="L6" s="241"/>
      <c r="M6" s="241"/>
    </row>
    <row r="7" spans="1:13" x14ac:dyDescent="0.4">
      <c r="A7" s="241" t="s">
        <v>192</v>
      </c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</row>
    <row r="8" spans="1:13" x14ac:dyDescent="0.4">
      <c r="A8" s="42"/>
      <c r="G8" s="42"/>
    </row>
    <row r="9" spans="1:13" x14ac:dyDescent="0.4">
      <c r="A9" s="42"/>
      <c r="G9" s="42"/>
    </row>
    <row r="10" spans="1:13" x14ac:dyDescent="0.4">
      <c r="A10" s="42"/>
    </row>
    <row r="11" spans="1:13" x14ac:dyDescent="0.4">
      <c r="A11" s="42"/>
      <c r="C11" s="246" t="s">
        <v>193</v>
      </c>
      <c r="D11" s="246"/>
      <c r="E11" s="246"/>
      <c r="H11" s="42"/>
      <c r="J11" s="246" t="s">
        <v>194</v>
      </c>
      <c r="K11" s="246"/>
      <c r="L11" s="246"/>
    </row>
    <row r="12" spans="1:13" x14ac:dyDescent="0.4">
      <c r="A12" s="42"/>
      <c r="C12" s="239"/>
      <c r="D12" s="239"/>
      <c r="E12" s="239"/>
      <c r="H12" s="42"/>
      <c r="J12" s="239"/>
      <c r="K12" s="239"/>
      <c r="L12" s="239"/>
    </row>
    <row r="13" spans="1:13" x14ac:dyDescent="0.4">
      <c r="A13" s="42"/>
      <c r="C13" s="245" t="s">
        <v>170</v>
      </c>
      <c r="D13" s="245"/>
      <c r="E13" s="245"/>
      <c r="H13" s="42"/>
      <c r="J13" s="245" t="s">
        <v>170</v>
      </c>
      <c r="K13" s="245"/>
      <c r="L13" s="245"/>
    </row>
    <row r="14" spans="1:13" x14ac:dyDescent="0.4">
      <c r="A14" s="42"/>
      <c r="C14" s="65"/>
      <c r="H14" s="42"/>
      <c r="J14" s="65"/>
    </row>
    <row r="15" spans="1:13" x14ac:dyDescent="0.4">
      <c r="A15" s="42"/>
      <c r="C15" s="46"/>
      <c r="D15" s="42"/>
      <c r="E15" s="241" t="s">
        <v>195</v>
      </c>
      <c r="F15" s="241"/>
      <c r="H15" s="42"/>
      <c r="J15" s="46"/>
      <c r="K15" s="42"/>
      <c r="L15" s="241" t="s">
        <v>195</v>
      </c>
      <c r="M15" s="241"/>
    </row>
    <row r="16" spans="1:13" x14ac:dyDescent="0.4">
      <c r="A16" s="42"/>
      <c r="C16" s="42"/>
      <c r="D16" s="42"/>
      <c r="E16" s="241" t="s">
        <v>196</v>
      </c>
      <c r="F16" s="241"/>
      <c r="H16" s="42"/>
      <c r="J16" s="42"/>
      <c r="K16" s="42"/>
      <c r="L16" s="241" t="s">
        <v>196</v>
      </c>
      <c r="M16" s="241"/>
    </row>
    <row r="17" spans="1:15" x14ac:dyDescent="0.4">
      <c r="A17" s="66" t="s">
        <v>172</v>
      </c>
      <c r="C17" s="66" t="s">
        <v>138</v>
      </c>
      <c r="D17" s="42"/>
      <c r="E17" s="246" t="s">
        <v>197</v>
      </c>
      <c r="F17" s="246"/>
      <c r="H17" s="66" t="s">
        <v>172</v>
      </c>
      <c r="J17" s="66" t="s">
        <v>138</v>
      </c>
      <c r="K17" s="42"/>
      <c r="L17" s="246" t="s">
        <v>197</v>
      </c>
      <c r="M17" s="246"/>
    </row>
    <row r="18" spans="1:15" x14ac:dyDescent="0.4">
      <c r="A18" s="42"/>
      <c r="H18" s="42"/>
    </row>
    <row r="19" spans="1:15" x14ac:dyDescent="0.4">
      <c r="A19" s="42">
        <v>701</v>
      </c>
      <c r="C19" s="67">
        <v>0.186</v>
      </c>
      <c r="D19" s="13"/>
      <c r="E19" s="68">
        <v>0.311</v>
      </c>
      <c r="F19" s="69"/>
      <c r="H19" s="42">
        <f>A19</f>
        <v>701</v>
      </c>
      <c r="J19" s="70">
        <v>0.19900000000000001</v>
      </c>
      <c r="K19" s="71"/>
      <c r="L19" s="247">
        <v>0.35299999999999998</v>
      </c>
      <c r="M19" s="247"/>
    </row>
    <row r="20" spans="1:15" x14ac:dyDescent="0.4">
      <c r="A20" s="42">
        <v>702</v>
      </c>
      <c r="C20" s="67">
        <v>0.126</v>
      </c>
      <c r="D20" s="13"/>
      <c r="E20" s="68">
        <v>0.216</v>
      </c>
      <c r="F20" s="69"/>
      <c r="H20" s="42">
        <f t="shared" ref="H20" si="0">A20</f>
        <v>702</v>
      </c>
      <c r="J20" s="70">
        <v>0.14399999999999999</v>
      </c>
      <c r="K20" s="71"/>
      <c r="L20" s="247">
        <v>0.26100000000000001</v>
      </c>
      <c r="M20" s="247"/>
    </row>
    <row r="21" spans="1:15" x14ac:dyDescent="0.4">
      <c r="A21" s="42"/>
      <c r="C21" s="72"/>
      <c r="E21" s="69"/>
      <c r="F21" s="69"/>
      <c r="H21" s="42"/>
      <c r="J21" s="73"/>
      <c r="K21" s="42"/>
      <c r="L21" s="74"/>
    </row>
    <row r="22" spans="1:15" x14ac:dyDescent="0.4">
      <c r="A22" s="42"/>
      <c r="H22" s="42"/>
      <c r="J22" s="75"/>
      <c r="L22" s="75"/>
    </row>
    <row r="23" spans="1:15" x14ac:dyDescent="0.4">
      <c r="A23" s="42"/>
      <c r="C23" s="240" t="s">
        <v>179</v>
      </c>
      <c r="D23" s="240"/>
      <c r="E23" s="240"/>
      <c r="H23" s="42"/>
      <c r="J23" s="240" t="s">
        <v>179</v>
      </c>
      <c r="K23" s="240"/>
      <c r="L23" s="240"/>
    </row>
    <row r="24" spans="1:15" x14ac:dyDescent="0.4">
      <c r="A24" s="42"/>
      <c r="H24" s="42"/>
    </row>
    <row r="25" spans="1:15" x14ac:dyDescent="0.4">
      <c r="A25" s="66" t="s">
        <v>172</v>
      </c>
      <c r="C25" s="66" t="s">
        <v>180</v>
      </c>
      <c r="E25" s="246" t="s">
        <v>181</v>
      </c>
      <c r="F25" s="246"/>
      <c r="H25" s="66" t="s">
        <v>172</v>
      </c>
      <c r="J25" s="66" t="s">
        <v>180</v>
      </c>
      <c r="L25" s="246" t="s">
        <v>181</v>
      </c>
      <c r="M25" s="246"/>
    </row>
    <row r="26" spans="1:15" x14ac:dyDescent="0.4">
      <c r="A26" s="42"/>
      <c r="H26" s="42"/>
    </row>
    <row r="27" spans="1:15" x14ac:dyDescent="0.4">
      <c r="A27" s="42">
        <v>701</v>
      </c>
      <c r="C27" s="67">
        <v>1.9E-2</v>
      </c>
      <c r="D27" s="13"/>
      <c r="E27" s="68">
        <v>5.0999999999999997E-2</v>
      </c>
      <c r="F27" s="69"/>
      <c r="H27" s="42">
        <f>H19</f>
        <v>701</v>
      </c>
      <c r="J27" s="70">
        <v>1.9E-2</v>
      </c>
      <c r="K27" s="71"/>
      <c r="L27" s="247">
        <v>4.5999999999999999E-2</v>
      </c>
      <c r="M27" s="247"/>
    </row>
    <row r="28" spans="1:15" x14ac:dyDescent="0.4">
      <c r="A28" s="42">
        <v>702</v>
      </c>
      <c r="C28" s="67">
        <v>1.4999999999999999E-2</v>
      </c>
      <c r="D28" s="13"/>
      <c r="E28" s="68">
        <v>3.7999999999999999E-2</v>
      </c>
      <c r="F28" s="69"/>
      <c r="H28" s="42">
        <f>H20</f>
        <v>702</v>
      </c>
      <c r="J28" s="70">
        <v>1.4999999999999999E-2</v>
      </c>
      <c r="K28" s="71"/>
      <c r="L28" s="247">
        <v>3.4000000000000002E-2</v>
      </c>
      <c r="M28" s="247"/>
    </row>
    <row r="29" spans="1:15" x14ac:dyDescent="0.4">
      <c r="A29" s="42"/>
      <c r="C29" s="72"/>
      <c r="E29" s="69"/>
      <c r="F29" s="69"/>
      <c r="H29" s="42"/>
      <c r="J29" s="73"/>
      <c r="K29" s="42"/>
      <c r="L29" s="74"/>
    </row>
    <row r="30" spans="1:15" x14ac:dyDescent="0.4">
      <c r="A30" s="42"/>
      <c r="C30" s="72"/>
      <c r="E30" s="69"/>
      <c r="F30" s="69"/>
      <c r="H30" s="42"/>
      <c r="J30" s="73"/>
      <c r="K30" s="42"/>
      <c r="L30" s="74"/>
    </row>
    <row r="31" spans="1:15" x14ac:dyDescent="0.4">
      <c r="A31" s="42"/>
      <c r="H31" s="42"/>
      <c r="L31" s="42" t="s">
        <v>165</v>
      </c>
      <c r="M31" s="42" t="s">
        <v>165</v>
      </c>
    </row>
    <row r="32" spans="1:15" x14ac:dyDescent="0.4">
      <c r="A32" s="52" t="s">
        <v>172</v>
      </c>
      <c r="C32" s="52" t="s">
        <v>164</v>
      </c>
      <c r="E32" s="76" t="s">
        <v>165</v>
      </c>
      <c r="F32" s="76"/>
      <c r="H32" s="52" t="s">
        <v>172</v>
      </c>
      <c r="J32" s="52" t="s">
        <v>164</v>
      </c>
      <c r="L32" s="52" t="s">
        <v>198</v>
      </c>
      <c r="M32" s="52" t="s">
        <v>199</v>
      </c>
      <c r="O32" s="77"/>
    </row>
    <row r="33" spans="1:15" x14ac:dyDescent="0.4">
      <c r="A33" s="42"/>
      <c r="H33" s="42"/>
      <c r="O33" s="77"/>
    </row>
    <row r="34" spans="1:15" x14ac:dyDescent="0.4">
      <c r="A34" s="42">
        <v>701</v>
      </c>
      <c r="C34" s="67">
        <v>0.58699999999999997</v>
      </c>
      <c r="D34" s="78"/>
      <c r="E34" s="68">
        <v>8.5470000000000006</v>
      </c>
      <c r="F34" s="74"/>
      <c r="H34" s="42">
        <f>H27</f>
        <v>701</v>
      </c>
      <c r="J34" s="73">
        <f t="shared" ref="J34:J35" si="1">C34*(1+SalesSWLCChange)</f>
        <v>0.55001900000000004</v>
      </c>
      <c r="L34" s="73">
        <f t="shared" ref="L34:L35" si="2">E34*(1+PayrollIndChange)</f>
        <v>8.9658029999999993</v>
      </c>
      <c r="M34" s="73">
        <f>ROUND(L34 * 0.935,3)</f>
        <v>8.3829999999999991</v>
      </c>
    </row>
    <row r="35" spans="1:15" x14ac:dyDescent="0.4">
      <c r="A35" s="42">
        <v>702</v>
      </c>
      <c r="C35" s="67">
        <v>0.82099999999999995</v>
      </c>
      <c r="D35" s="78"/>
      <c r="E35" s="68">
        <v>8.4589999999999996</v>
      </c>
      <c r="F35" s="74"/>
      <c r="H35" s="42">
        <f>H28</f>
        <v>702</v>
      </c>
      <c r="J35" s="73">
        <f t="shared" si="1"/>
        <v>0.76927699999999999</v>
      </c>
      <c r="L35" s="73">
        <f t="shared" si="2"/>
        <v>8.8734909999999996</v>
      </c>
      <c r="M35" s="73">
        <f t="shared" ref="M35" si="3">ROUND(L35 * 0.935,3)</f>
        <v>8.2970000000000006</v>
      </c>
    </row>
    <row r="38" spans="1:15" x14ac:dyDescent="0.4">
      <c r="A38" s="61" t="s">
        <v>200</v>
      </c>
    </row>
    <row r="39" spans="1:15" x14ac:dyDescent="0.4">
      <c r="A39" s="61" t="s">
        <v>201</v>
      </c>
    </row>
    <row r="40" spans="1:15" x14ac:dyDescent="0.4">
      <c r="A40" s="61" t="s">
        <v>202</v>
      </c>
    </row>
  </sheetData>
  <mergeCells count="27">
    <mergeCell ref="E25:F25"/>
    <mergeCell ref="L25:M25"/>
    <mergeCell ref="L27:M27"/>
    <mergeCell ref="L28:M28"/>
    <mergeCell ref="C23:E23"/>
    <mergeCell ref="J23:L23"/>
    <mergeCell ref="L19:M19"/>
    <mergeCell ref="L20:M20"/>
    <mergeCell ref="E15:F15"/>
    <mergeCell ref="L15:M15"/>
    <mergeCell ref="E16:F16"/>
    <mergeCell ref="L16:M16"/>
    <mergeCell ref="E17:F17"/>
    <mergeCell ref="L17:M17"/>
    <mergeCell ref="C13:E13"/>
    <mergeCell ref="J13:L13"/>
    <mergeCell ref="A1:M1"/>
    <mergeCell ref="A2:M2"/>
    <mergeCell ref="A3:M3"/>
    <mergeCell ref="A4:M4"/>
    <mergeCell ref="A5:M5"/>
    <mergeCell ref="A6:M6"/>
    <mergeCell ref="A7:M7"/>
    <mergeCell ref="C11:E11"/>
    <mergeCell ref="J11:L11"/>
    <mergeCell ref="C12:E12"/>
    <mergeCell ref="J12:L12"/>
  </mergeCells>
  <printOptions horizontalCentered="1"/>
  <pageMargins left="0.7" right="0.56000000000000005" top="0.75" bottom="0.75" header="0.3" footer="0.3"/>
  <pageSetup firstPageNumber="0" orientation="portrait" useFirstPageNumber="1" r:id="rId1"/>
  <headerFooter>
    <oddHeader>&amp;L&amp;"Times New Roman"&amp;9INSURANCE SERVICES OFFICE, INC.</oddHeader>
    <oddFooter>&amp;C&amp;"Times New Roman"&amp;9© Insurance Services Office, Inc., 2022        		OREGON        BP-2021-RLA1&amp;R&amp;"Times New Roman"&amp;9&amp;A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6827D-8E95-4D55-BA48-F1C8D2ED760D}">
  <dimension ref="A1:O37"/>
  <sheetViews>
    <sheetView zoomScaleNormal="100" workbookViewId="0">
      <selection sqref="A1:L1"/>
    </sheetView>
  </sheetViews>
  <sheetFormatPr defaultColWidth="9.1328125" defaultRowHeight="13.15" x14ac:dyDescent="0.4"/>
  <cols>
    <col min="1" max="1" width="2.59765625" style="2" customWidth="1"/>
    <col min="2" max="2" width="5.73046875" style="2" customWidth="1"/>
    <col min="3" max="3" width="4" style="2" customWidth="1"/>
    <col min="4" max="4" width="16.1328125" style="2" customWidth="1"/>
    <col min="5" max="5" width="4.73046875" style="2" customWidth="1"/>
    <col min="6" max="6" width="13.73046875" style="2" customWidth="1"/>
    <col min="7" max="7" width="3.1328125" style="2" customWidth="1"/>
    <col min="8" max="8" width="9.73046875" style="2" customWidth="1"/>
    <col min="9" max="9" width="7.59765625" style="2" customWidth="1"/>
    <col min="10" max="10" width="7.86328125" style="2" customWidth="1"/>
    <col min="11" max="11" width="8" style="2" customWidth="1"/>
    <col min="12" max="12" width="7" style="2" customWidth="1"/>
    <col min="13" max="14" width="9.1328125" style="2"/>
    <col min="15" max="15" width="9.1328125" style="2" customWidth="1"/>
    <col min="16" max="16384" width="9.1328125" style="2"/>
  </cols>
  <sheetData>
    <row r="1" spans="1:15" x14ac:dyDescent="0.4">
      <c r="A1" s="240" t="str">
        <f>UPPER(state)</f>
        <v>OREGON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65"/>
    </row>
    <row r="2" spans="1:15" x14ac:dyDescent="0.4">
      <c r="B2" s="239"/>
      <c r="C2" s="239"/>
      <c r="D2" s="239"/>
      <c r="E2" s="239"/>
      <c r="F2" s="239"/>
      <c r="G2" s="239"/>
      <c r="H2" s="239"/>
      <c r="I2" s="239"/>
      <c r="J2" s="239"/>
      <c r="K2" s="239"/>
    </row>
    <row r="3" spans="1:15" x14ac:dyDescent="0.4">
      <c r="A3" s="241" t="s">
        <v>203</v>
      </c>
      <c r="B3" s="241"/>
      <c r="C3" s="241"/>
      <c r="D3" s="241"/>
      <c r="E3" s="241"/>
      <c r="F3" s="241"/>
      <c r="G3" s="241"/>
      <c r="H3" s="241"/>
      <c r="I3" s="241"/>
      <c r="J3" s="241"/>
      <c r="K3" s="241"/>
      <c r="L3" s="241"/>
    </row>
    <row r="4" spans="1:15" x14ac:dyDescent="0.4">
      <c r="B4" s="239"/>
      <c r="C4" s="239"/>
      <c r="D4" s="239"/>
      <c r="E4" s="239"/>
      <c r="F4" s="239"/>
      <c r="G4" s="239"/>
      <c r="H4" s="239"/>
      <c r="I4" s="239"/>
      <c r="J4" s="239"/>
      <c r="K4" s="239"/>
    </row>
    <row r="5" spans="1:15" x14ac:dyDescent="0.4">
      <c r="A5" s="241" t="s">
        <v>204</v>
      </c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</row>
    <row r="6" spans="1:15" x14ac:dyDescent="0.4">
      <c r="B6" s="239"/>
      <c r="C6" s="239"/>
      <c r="D6" s="239"/>
      <c r="E6" s="239"/>
      <c r="F6" s="239"/>
      <c r="G6" s="239"/>
      <c r="H6" s="239"/>
      <c r="I6" s="239"/>
      <c r="J6" s="239"/>
      <c r="K6" s="239"/>
    </row>
    <row r="7" spans="1:15" x14ac:dyDescent="0.4">
      <c r="A7" s="241" t="s">
        <v>205</v>
      </c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</row>
    <row r="10" spans="1:15" x14ac:dyDescent="0.4">
      <c r="D10" s="62" t="s">
        <v>206</v>
      </c>
      <c r="E10" s="42"/>
      <c r="F10" s="62" t="s">
        <v>207</v>
      </c>
      <c r="G10" s="42"/>
      <c r="H10" s="62" t="s">
        <v>208</v>
      </c>
      <c r="I10" s="42" t="s">
        <v>209</v>
      </c>
      <c r="J10" s="62" t="s">
        <v>210</v>
      </c>
      <c r="K10" s="62" t="s">
        <v>211</v>
      </c>
      <c r="L10" s="62" t="s">
        <v>212</v>
      </c>
    </row>
    <row r="11" spans="1:15" x14ac:dyDescent="0.4">
      <c r="A11" s="42"/>
      <c r="B11" s="42"/>
      <c r="C11" s="42"/>
      <c r="D11" s="42"/>
      <c r="E11" s="42"/>
      <c r="F11" s="42" t="s">
        <v>213</v>
      </c>
      <c r="G11" s="42"/>
      <c r="H11" s="42"/>
      <c r="I11" s="42"/>
      <c r="J11" s="42"/>
      <c r="K11" s="42"/>
      <c r="L11" s="42"/>
    </row>
    <row r="12" spans="1:15" x14ac:dyDescent="0.4">
      <c r="A12" s="241" t="s">
        <v>214</v>
      </c>
      <c r="B12" s="241"/>
      <c r="C12" s="241"/>
      <c r="D12" s="42" t="s">
        <v>215</v>
      </c>
      <c r="E12" s="42"/>
      <c r="F12" s="42" t="s">
        <v>216</v>
      </c>
      <c r="G12" s="42"/>
      <c r="H12" s="42"/>
      <c r="I12" s="42"/>
      <c r="J12" s="42"/>
      <c r="K12" s="42"/>
      <c r="L12" s="42"/>
    </row>
    <row r="13" spans="1:15" x14ac:dyDescent="0.4">
      <c r="A13" s="241" t="s">
        <v>109</v>
      </c>
      <c r="B13" s="241"/>
      <c r="C13" s="241"/>
      <c r="D13" s="42" t="s">
        <v>217</v>
      </c>
      <c r="E13" s="42"/>
      <c r="F13" s="42" t="s">
        <v>218</v>
      </c>
      <c r="G13" s="42"/>
      <c r="H13" s="42" t="s">
        <v>219</v>
      </c>
      <c r="I13" s="243" t="s">
        <v>220</v>
      </c>
      <c r="J13" s="243"/>
      <c r="K13" s="243"/>
      <c r="L13" s="243"/>
    </row>
    <row r="14" spans="1:15" x14ac:dyDescent="0.4">
      <c r="A14" s="243" t="s">
        <v>221</v>
      </c>
      <c r="B14" s="243"/>
      <c r="C14" s="243"/>
      <c r="D14" s="52" t="s">
        <v>222</v>
      </c>
      <c r="E14" s="52"/>
      <c r="F14" s="52" t="s">
        <v>223</v>
      </c>
      <c r="G14" s="42"/>
      <c r="H14" s="52" t="s">
        <v>224</v>
      </c>
      <c r="I14" s="52" t="s">
        <v>134</v>
      </c>
      <c r="J14" s="52" t="s">
        <v>135</v>
      </c>
      <c r="K14" s="52" t="s">
        <v>225</v>
      </c>
      <c r="L14" s="52" t="s">
        <v>136</v>
      </c>
      <c r="O14" s="52" t="s">
        <v>226</v>
      </c>
    </row>
    <row r="15" spans="1:15" x14ac:dyDescent="0.4">
      <c r="A15" s="239"/>
      <c r="B15" s="239"/>
      <c r="C15" s="239"/>
    </row>
    <row r="16" spans="1:15" x14ac:dyDescent="0.4">
      <c r="A16" s="249">
        <f t="shared" ref="A16:A18" si="0">DATE(YEAR(A17)-1,MONTH(A17),DAY(A17))</f>
        <v>42643</v>
      </c>
      <c r="B16" s="249"/>
      <c r="C16" s="249"/>
      <c r="D16" s="53">
        <v>16700298.1068062</v>
      </c>
      <c r="F16" s="79">
        <v>17580132</v>
      </c>
      <c r="H16" s="73">
        <f>ROUND(F16/D16,3)</f>
        <v>1.0529999999999999</v>
      </c>
      <c r="I16" s="78">
        <v>0.45300000000000001</v>
      </c>
      <c r="J16" s="78">
        <v>0.104</v>
      </c>
      <c r="K16" s="78">
        <v>3.4000000000000002E-2</v>
      </c>
      <c r="L16" s="78">
        <v>0.46100000000000002</v>
      </c>
      <c r="O16" s="80">
        <v>0.1</v>
      </c>
    </row>
    <row r="17" spans="1:15" x14ac:dyDescent="0.4">
      <c r="A17" s="249">
        <f t="shared" si="0"/>
        <v>43008</v>
      </c>
      <c r="B17" s="249"/>
      <c r="C17" s="249"/>
      <c r="D17" s="81">
        <v>16886639.729568701</v>
      </c>
      <c r="F17" s="81">
        <v>20804366</v>
      </c>
      <c r="H17" s="73">
        <f t="shared" ref="H17:H20" si="1">ROUND(F17/D17,3)</f>
        <v>1.232</v>
      </c>
      <c r="I17" s="78">
        <v>0.42399999999999999</v>
      </c>
      <c r="J17" s="78">
        <v>0.115</v>
      </c>
      <c r="K17" s="78">
        <v>4.9000000000000002E-2</v>
      </c>
      <c r="L17" s="78">
        <v>0.64400000000000002</v>
      </c>
      <c r="O17" s="80">
        <v>0.15</v>
      </c>
    </row>
    <row r="18" spans="1:15" x14ac:dyDescent="0.4">
      <c r="A18" s="249">
        <f t="shared" si="0"/>
        <v>43373</v>
      </c>
      <c r="B18" s="249"/>
      <c r="C18" s="249"/>
      <c r="D18" s="81">
        <v>16978902.141469099</v>
      </c>
      <c r="F18" s="81">
        <v>15505746</v>
      </c>
      <c r="H18" s="73">
        <f t="shared" si="1"/>
        <v>0.91300000000000003</v>
      </c>
      <c r="I18" s="78">
        <v>0.51900000000000002</v>
      </c>
      <c r="J18" s="78">
        <v>4.4999999999999998E-2</v>
      </c>
      <c r="K18" s="78">
        <v>3.5000000000000003E-2</v>
      </c>
      <c r="L18" s="78">
        <v>0.314</v>
      </c>
      <c r="O18" s="80">
        <v>0.2</v>
      </c>
    </row>
    <row r="19" spans="1:15" x14ac:dyDescent="0.4">
      <c r="A19" s="249">
        <f>DATE(YEAR(A20)-1,MONTH(A20),DAY(A20))</f>
        <v>43738</v>
      </c>
      <c r="B19" s="249"/>
      <c r="C19" s="249"/>
      <c r="D19" s="81">
        <v>17764431.886775699</v>
      </c>
      <c r="F19" s="81">
        <v>21485774</v>
      </c>
      <c r="H19" s="73">
        <f t="shared" si="1"/>
        <v>1.2090000000000001</v>
      </c>
      <c r="I19" s="78">
        <v>0.41399999999999998</v>
      </c>
      <c r="J19" s="78">
        <v>8.8999999999999996E-2</v>
      </c>
      <c r="K19" s="78">
        <v>1.7999999999999999E-2</v>
      </c>
      <c r="L19" s="78">
        <v>0.68799999999999994</v>
      </c>
      <c r="O19" s="80">
        <v>0.25</v>
      </c>
    </row>
    <row r="20" spans="1:15" x14ac:dyDescent="0.4">
      <c r="A20" s="249">
        <f>DZ_INPUTS!B3</f>
        <v>44104</v>
      </c>
      <c r="B20" s="249"/>
      <c r="C20" s="249"/>
      <c r="D20" s="81">
        <v>19269627.248009801</v>
      </c>
      <c r="F20" s="81">
        <v>29326148</v>
      </c>
      <c r="H20" s="73">
        <f t="shared" si="1"/>
        <v>1.522</v>
      </c>
      <c r="I20" s="78">
        <v>0.79400000000000004</v>
      </c>
      <c r="J20" s="78">
        <v>9.4E-2</v>
      </c>
      <c r="K20" s="78">
        <v>5.6000000000000001E-2</v>
      </c>
      <c r="L20" s="78">
        <v>0.57799999999999996</v>
      </c>
      <c r="O20" s="80">
        <v>0.3</v>
      </c>
    </row>
    <row r="23" spans="1:15" x14ac:dyDescent="0.4">
      <c r="A23" s="248" t="s">
        <v>227</v>
      </c>
      <c r="B23" s="248"/>
      <c r="C23" s="239" t="s">
        <v>228</v>
      </c>
      <c r="D23" s="239"/>
      <c r="E23" s="239"/>
      <c r="F23" s="239"/>
      <c r="G23" s="239"/>
      <c r="H23" s="42" t="s">
        <v>229</v>
      </c>
      <c r="I23" s="82">
        <f>ROUND(SUMPRODUCT(H16:H20,O16:O20),3)</f>
        <v>1.232</v>
      </c>
    </row>
    <row r="24" spans="1:15" x14ac:dyDescent="0.4">
      <c r="A24" s="250"/>
      <c r="B24" s="250"/>
      <c r="C24" s="239"/>
      <c r="D24" s="239"/>
      <c r="E24" s="239"/>
      <c r="F24" s="239"/>
      <c r="G24" s="239"/>
      <c r="I24" s="82"/>
    </row>
    <row r="25" spans="1:15" x14ac:dyDescent="0.4">
      <c r="A25" s="248" t="s">
        <v>230</v>
      </c>
      <c r="B25" s="248"/>
      <c r="C25" s="239" t="s">
        <v>231</v>
      </c>
      <c r="D25" s="239"/>
      <c r="E25" s="239"/>
      <c r="F25" s="239"/>
      <c r="G25" s="239"/>
      <c r="H25" s="42" t="s">
        <v>229</v>
      </c>
      <c r="I25" s="82">
        <f>'EXHIBIT C10'!C18</f>
        <v>0.61499999999999999</v>
      </c>
    </row>
    <row r="26" spans="1:15" x14ac:dyDescent="0.4">
      <c r="A26" s="250"/>
      <c r="B26" s="250"/>
      <c r="C26" s="239"/>
      <c r="D26" s="239"/>
      <c r="E26" s="239"/>
      <c r="F26" s="239"/>
      <c r="G26" s="239"/>
      <c r="I26" s="82"/>
    </row>
    <row r="27" spans="1:15" x14ac:dyDescent="0.4">
      <c r="A27" s="248" t="s">
        <v>232</v>
      </c>
      <c r="B27" s="248"/>
      <c r="C27" s="239" t="s">
        <v>233</v>
      </c>
      <c r="D27" s="239"/>
      <c r="E27" s="239"/>
      <c r="F27" s="239"/>
      <c r="G27" s="239"/>
      <c r="H27" s="42" t="s">
        <v>229</v>
      </c>
      <c r="I27" s="82">
        <f>'EXHIBIT B3'!H54</f>
        <v>1.004</v>
      </c>
    </row>
    <row r="28" spans="1:15" x14ac:dyDescent="0.4">
      <c r="A28" s="250"/>
      <c r="B28" s="250"/>
      <c r="C28" s="239"/>
      <c r="D28" s="239"/>
      <c r="E28" s="239"/>
      <c r="F28" s="239"/>
      <c r="G28" s="239"/>
      <c r="I28" s="82"/>
    </row>
    <row r="29" spans="1:15" x14ac:dyDescent="0.4">
      <c r="A29" s="248" t="s">
        <v>234</v>
      </c>
      <c r="B29" s="248"/>
      <c r="C29" s="239" t="s">
        <v>235</v>
      </c>
      <c r="D29" s="239"/>
      <c r="E29" s="239"/>
      <c r="F29" s="239"/>
      <c r="G29" s="239"/>
      <c r="H29" s="42" t="s">
        <v>229</v>
      </c>
      <c r="I29" s="82">
        <f>ROUND(I23*I25+(1-I25)*I27,3)</f>
        <v>1.1439999999999999</v>
      </c>
    </row>
    <row r="30" spans="1:15" x14ac:dyDescent="0.4">
      <c r="A30" s="250"/>
      <c r="B30" s="250"/>
      <c r="C30" s="239"/>
      <c r="D30" s="239"/>
      <c r="E30" s="239"/>
      <c r="F30" s="239"/>
      <c r="G30" s="239"/>
      <c r="I30" s="82"/>
    </row>
    <row r="31" spans="1:15" x14ac:dyDescent="0.4">
      <c r="A31" s="248" t="s">
        <v>236</v>
      </c>
      <c r="B31" s="248"/>
      <c r="C31" s="239" t="str">
        <f>"Indicated Loss Cost Level Change"</f>
        <v>Indicated Loss Cost Level Change</v>
      </c>
      <c r="D31" s="239"/>
      <c r="E31" s="239"/>
      <c r="F31" s="239"/>
      <c r="G31" s="239"/>
      <c r="H31" s="42" t="s">
        <v>229</v>
      </c>
      <c r="I31" s="82">
        <f>I29</f>
        <v>1.1439999999999999</v>
      </c>
      <c r="J31" s="42" t="s">
        <v>237</v>
      </c>
      <c r="K31" s="83">
        <f>I29-1</f>
        <v>0.14399999999999991</v>
      </c>
    </row>
    <row r="32" spans="1:15" x14ac:dyDescent="0.4">
      <c r="A32" s="250"/>
      <c r="B32" s="250"/>
      <c r="C32" s="239"/>
      <c r="D32" s="239"/>
      <c r="E32" s="239"/>
      <c r="F32" s="239"/>
      <c r="G32" s="239"/>
    </row>
    <row r="33" spans="1:11" x14ac:dyDescent="0.4">
      <c r="A33" s="248" t="s">
        <v>238</v>
      </c>
      <c r="B33" s="248"/>
      <c r="C33" s="239" t="s">
        <v>239</v>
      </c>
      <c r="D33" s="239"/>
      <c r="E33" s="239"/>
      <c r="F33" s="239"/>
      <c r="G33" s="239"/>
      <c r="H33" s="42" t="s">
        <v>229</v>
      </c>
      <c r="I33" s="83">
        <f>K31</f>
        <v>0.14399999999999991</v>
      </c>
    </row>
    <row r="34" spans="1:11" x14ac:dyDescent="0.4">
      <c r="A34" s="250"/>
      <c r="B34" s="250"/>
      <c r="C34" s="239"/>
      <c r="D34" s="239"/>
      <c r="E34" s="239"/>
      <c r="F34" s="239"/>
      <c r="G34" s="239"/>
    </row>
    <row r="35" spans="1:11" x14ac:dyDescent="0.4">
      <c r="A35" s="248"/>
      <c r="B35" s="248"/>
      <c r="C35" s="251"/>
      <c r="D35" s="251"/>
      <c r="E35" s="251"/>
      <c r="F35" s="251"/>
      <c r="G35" s="251"/>
      <c r="H35" s="62"/>
      <c r="I35" s="82"/>
      <c r="J35" s="62"/>
      <c r="K35" s="83"/>
    </row>
    <row r="36" spans="1:11" x14ac:dyDescent="0.4">
      <c r="A36" s="250"/>
      <c r="B36" s="250"/>
      <c r="C36" s="239"/>
      <c r="D36" s="239"/>
      <c r="E36" s="239"/>
      <c r="F36" s="239"/>
      <c r="G36" s="239"/>
    </row>
    <row r="37" spans="1:11" x14ac:dyDescent="0.4">
      <c r="C37" s="239" t="str">
        <f>"NOTE: The assumed effective date for trending is "&amp;TEXT(DZ_INPUTS!$B$5,"m/d/yyyy")&amp;"."</f>
        <v>NOTE: The assumed effective date for trending is 3/1/2022.</v>
      </c>
      <c r="D37" s="239"/>
      <c r="E37" s="239"/>
      <c r="F37" s="239"/>
      <c r="G37" s="239"/>
      <c r="H37" s="239"/>
      <c r="I37" s="239"/>
    </row>
  </sheetData>
  <mergeCells count="46">
    <mergeCell ref="A36:B36"/>
    <mergeCell ref="C36:G36"/>
    <mergeCell ref="C37:I37"/>
    <mergeCell ref="A33:B33"/>
    <mergeCell ref="C33:G33"/>
    <mergeCell ref="A34:B34"/>
    <mergeCell ref="C34:G34"/>
    <mergeCell ref="A35:B35"/>
    <mergeCell ref="C35:G35"/>
    <mergeCell ref="A30:B30"/>
    <mergeCell ref="C30:G30"/>
    <mergeCell ref="A31:B31"/>
    <mergeCell ref="C31:G31"/>
    <mergeCell ref="A32:B32"/>
    <mergeCell ref="C32:G32"/>
    <mergeCell ref="A27:B27"/>
    <mergeCell ref="C27:G27"/>
    <mergeCell ref="A28:B28"/>
    <mergeCell ref="C28:G28"/>
    <mergeCell ref="A29:B29"/>
    <mergeCell ref="C29:G29"/>
    <mergeCell ref="A24:B24"/>
    <mergeCell ref="C24:G24"/>
    <mergeCell ref="A25:B25"/>
    <mergeCell ref="C25:G25"/>
    <mergeCell ref="A26:B26"/>
    <mergeCell ref="C26:G26"/>
    <mergeCell ref="A23:B23"/>
    <mergeCell ref="C23:G23"/>
    <mergeCell ref="A7:L7"/>
    <mergeCell ref="A12:C12"/>
    <mergeCell ref="A13:C13"/>
    <mergeCell ref="I13:L13"/>
    <mergeCell ref="A14:C14"/>
    <mergeCell ref="A15:C15"/>
    <mergeCell ref="A16:C16"/>
    <mergeCell ref="A17:C17"/>
    <mergeCell ref="A18:C18"/>
    <mergeCell ref="A19:C19"/>
    <mergeCell ref="A20:C20"/>
    <mergeCell ref="B6:K6"/>
    <mergeCell ref="A1:L1"/>
    <mergeCell ref="B2:K2"/>
    <mergeCell ref="A3:L3"/>
    <mergeCell ref="B4:K4"/>
    <mergeCell ref="A5:L5"/>
  </mergeCells>
  <printOptions horizontalCentered="1"/>
  <pageMargins left="0.45" right="0.7" top="0.75" bottom="0.75" header="0.3" footer="0.3"/>
  <pageSetup firstPageNumber="0" orientation="portrait" useFirstPageNumber="1" r:id="rId1"/>
  <headerFooter>
    <oddHeader>&amp;L&amp;"Times New Roman"&amp;9INSURANCE SERVICES OFFICE, INC.</oddHeader>
    <oddFooter>&amp;C&amp;"Times New Roman"&amp;9© Insurance Services Office, Inc., 2022        		OREGON        BP-2021-RLA1&amp;R&amp;"Times New Roman"&amp;9&amp;A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8F6A3-B72B-4A05-93AB-989BE76EDA04}">
  <dimension ref="A1:O37"/>
  <sheetViews>
    <sheetView zoomScaleNormal="100" workbookViewId="0">
      <selection sqref="A1:J1"/>
    </sheetView>
  </sheetViews>
  <sheetFormatPr defaultRowHeight="12.75" x14ac:dyDescent="0.35"/>
  <cols>
    <col min="1" max="1" width="9.06640625" style="84"/>
    <col min="2" max="2" width="9.86328125" style="84" customWidth="1"/>
    <col min="3" max="3" width="2" style="84" customWidth="1"/>
    <col min="4" max="4" width="13.265625" style="84" customWidth="1"/>
    <col min="5" max="5" width="10.59765625" style="84" customWidth="1"/>
    <col min="6" max="6" width="3.73046875" style="84" customWidth="1"/>
    <col min="7" max="7" width="13.59765625" style="84" customWidth="1"/>
    <col min="8" max="8" width="8.59765625" style="84" customWidth="1"/>
    <col min="9" max="9" width="4.73046875" style="84" customWidth="1"/>
    <col min="10" max="10" width="7.86328125" style="84" customWidth="1"/>
    <col min="11" max="11" width="4.73046875" style="84" customWidth="1"/>
    <col min="12" max="12" width="7.86328125" style="84" customWidth="1"/>
    <col min="13" max="14" width="9.06640625" style="84"/>
    <col min="15" max="15" width="9.1328125" style="84" customWidth="1"/>
    <col min="16" max="16384" width="9.06640625" style="84"/>
  </cols>
  <sheetData>
    <row r="1" spans="1:15" ht="13.15" x14ac:dyDescent="0.4">
      <c r="A1" s="240" t="str">
        <f>UPPER(state)</f>
        <v>OREGON</v>
      </c>
      <c r="B1" s="240"/>
      <c r="C1" s="240"/>
      <c r="D1" s="240"/>
      <c r="E1" s="240"/>
      <c r="F1" s="240"/>
      <c r="G1" s="240"/>
      <c r="H1" s="240"/>
      <c r="I1" s="240"/>
      <c r="J1" s="240"/>
      <c r="K1" s="65"/>
      <c r="L1" s="65"/>
      <c r="M1" s="65"/>
    </row>
    <row r="2" spans="1:15" ht="13.15" x14ac:dyDescent="0.4">
      <c r="A2" s="239"/>
      <c r="B2" s="239"/>
      <c r="C2" s="239"/>
      <c r="D2" s="239"/>
      <c r="E2" s="239"/>
      <c r="F2" s="239"/>
      <c r="G2" s="239"/>
      <c r="H2" s="239"/>
      <c r="I2" s="239"/>
      <c r="J2" s="239"/>
      <c r="K2" s="239"/>
    </row>
    <row r="3" spans="1:15" ht="13.15" x14ac:dyDescent="0.4">
      <c r="A3" s="241" t="s">
        <v>240</v>
      </c>
      <c r="B3" s="241"/>
      <c r="C3" s="241"/>
      <c r="D3" s="241"/>
      <c r="E3" s="241"/>
      <c r="F3" s="241"/>
      <c r="G3" s="241"/>
      <c r="H3" s="241"/>
      <c r="I3" s="241"/>
      <c r="J3" s="241"/>
      <c r="K3" s="2"/>
      <c r="L3" s="2"/>
      <c r="M3" s="2"/>
    </row>
    <row r="4" spans="1:15" ht="13.15" x14ac:dyDescent="0.4">
      <c r="A4" s="239"/>
      <c r="B4" s="239"/>
      <c r="C4" s="239"/>
      <c r="D4" s="239"/>
      <c r="E4" s="239"/>
      <c r="F4" s="239"/>
      <c r="G4" s="239"/>
      <c r="H4" s="239"/>
      <c r="I4" s="239"/>
      <c r="J4" s="239"/>
      <c r="K4" s="239"/>
    </row>
    <row r="5" spans="1:15" ht="13.15" x14ac:dyDescent="0.4">
      <c r="A5" s="241" t="s">
        <v>241</v>
      </c>
      <c r="B5" s="241"/>
      <c r="C5" s="241"/>
      <c r="D5" s="241"/>
      <c r="E5" s="241"/>
      <c r="F5" s="241"/>
      <c r="G5" s="241"/>
      <c r="H5" s="241"/>
      <c r="I5" s="241"/>
      <c r="J5" s="241"/>
      <c r="K5" s="2"/>
      <c r="L5" s="2"/>
      <c r="M5" s="2"/>
    </row>
    <row r="6" spans="1:15" ht="13.15" x14ac:dyDescent="0.4">
      <c r="A6" s="239"/>
      <c r="B6" s="239"/>
      <c r="C6" s="239"/>
      <c r="D6" s="239"/>
      <c r="E6" s="239"/>
      <c r="F6" s="239"/>
      <c r="G6" s="239"/>
      <c r="H6" s="239"/>
      <c r="I6" s="239"/>
      <c r="J6" s="239"/>
      <c r="K6" s="239"/>
    </row>
    <row r="7" spans="1:15" ht="13.15" x14ac:dyDescent="0.4">
      <c r="A7" s="241" t="s">
        <v>205</v>
      </c>
      <c r="B7" s="241"/>
      <c r="C7" s="241"/>
      <c r="D7" s="241"/>
      <c r="E7" s="241"/>
      <c r="F7" s="241"/>
      <c r="G7" s="241"/>
      <c r="H7" s="241"/>
      <c r="I7" s="241"/>
      <c r="J7" s="241"/>
      <c r="K7" s="2"/>
      <c r="L7" s="2"/>
      <c r="M7" s="2"/>
    </row>
    <row r="8" spans="1:15" ht="13.15" x14ac:dyDescent="0.4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5" ht="13.15" x14ac:dyDescent="0.4">
      <c r="A9" s="2"/>
      <c r="B9" s="2"/>
      <c r="C9" s="2"/>
      <c r="D9" s="2"/>
      <c r="E9" s="2"/>
      <c r="F9" s="2"/>
      <c r="G9" s="2"/>
      <c r="H9" s="2"/>
      <c r="I9" s="2"/>
      <c r="J9" s="2"/>
      <c r="K9" s="2"/>
    </row>
    <row r="10" spans="1:15" ht="13.15" x14ac:dyDescent="0.4">
      <c r="A10" s="2"/>
      <c r="B10" s="2"/>
      <c r="C10" s="245" t="s">
        <v>206</v>
      </c>
      <c r="D10" s="245"/>
      <c r="E10" s="2"/>
      <c r="F10" s="245" t="s">
        <v>207</v>
      </c>
      <c r="G10" s="245"/>
      <c r="H10" s="2"/>
      <c r="I10" s="42"/>
      <c r="J10" s="62" t="s">
        <v>208</v>
      </c>
      <c r="K10" s="62"/>
      <c r="L10" s="85"/>
    </row>
    <row r="11" spans="1:15" ht="13.15" x14ac:dyDescent="0.4">
      <c r="A11" s="42"/>
      <c r="B11" s="42"/>
      <c r="C11" s="241"/>
      <c r="D11" s="241"/>
      <c r="E11" s="2"/>
      <c r="F11" s="241" t="s">
        <v>213</v>
      </c>
      <c r="G11" s="241"/>
      <c r="H11" s="2"/>
      <c r="I11" s="42"/>
      <c r="J11" s="42"/>
      <c r="K11" s="42"/>
      <c r="L11" s="86"/>
    </row>
    <row r="12" spans="1:15" ht="13.15" x14ac:dyDescent="0.4">
      <c r="A12" s="241" t="s">
        <v>214</v>
      </c>
      <c r="B12" s="241"/>
      <c r="C12" s="241" t="s">
        <v>215</v>
      </c>
      <c r="D12" s="241"/>
      <c r="E12" s="2"/>
      <c r="F12" s="241" t="s">
        <v>216</v>
      </c>
      <c r="G12" s="241"/>
      <c r="H12" s="2"/>
      <c r="I12" s="42"/>
      <c r="J12" s="42"/>
      <c r="K12" s="42"/>
      <c r="L12" s="86"/>
    </row>
    <row r="13" spans="1:15" ht="13.15" x14ac:dyDescent="0.4">
      <c r="A13" s="241" t="s">
        <v>109</v>
      </c>
      <c r="B13" s="241"/>
      <c r="C13" s="241" t="s">
        <v>217</v>
      </c>
      <c r="D13" s="241"/>
      <c r="E13" s="2"/>
      <c r="F13" s="241" t="s">
        <v>218</v>
      </c>
      <c r="G13" s="241"/>
      <c r="H13" s="2"/>
      <c r="I13" s="241" t="s">
        <v>219</v>
      </c>
      <c r="J13" s="241"/>
      <c r="K13" s="241"/>
      <c r="L13" s="87"/>
    </row>
    <row r="14" spans="1:15" ht="13.15" x14ac:dyDescent="0.4">
      <c r="A14" s="243" t="s">
        <v>221</v>
      </c>
      <c r="B14" s="243"/>
      <c r="C14" s="243" t="s">
        <v>222</v>
      </c>
      <c r="D14" s="243"/>
      <c r="E14" s="2"/>
      <c r="F14" s="243" t="s">
        <v>223</v>
      </c>
      <c r="G14" s="243"/>
      <c r="H14" s="2"/>
      <c r="I14" s="52"/>
      <c r="J14" s="52" t="s">
        <v>224</v>
      </c>
      <c r="K14" s="52"/>
      <c r="L14" s="87"/>
      <c r="O14" s="52" t="s">
        <v>226</v>
      </c>
    </row>
    <row r="15" spans="1:15" ht="13.15" x14ac:dyDescent="0.4">
      <c r="A15" s="239"/>
      <c r="B15" s="239"/>
      <c r="C15" s="2"/>
      <c r="D15" s="2"/>
      <c r="E15" s="2"/>
      <c r="F15" s="2"/>
      <c r="G15" s="2"/>
      <c r="H15" s="2"/>
      <c r="I15" s="2"/>
      <c r="J15" s="2"/>
      <c r="K15" s="2"/>
      <c r="O15" s="2"/>
    </row>
    <row r="16" spans="1:15" ht="13.15" x14ac:dyDescent="0.4">
      <c r="A16" s="249">
        <f t="shared" ref="A16:A18" si="0">DATE(YEAR(A17)-1,MONTH(A17),DAY(A17))</f>
        <v>42643</v>
      </c>
      <c r="B16" s="249"/>
      <c r="C16" s="2"/>
      <c r="D16" s="79">
        <v>3425050.2352200602</v>
      </c>
      <c r="E16" s="13"/>
      <c r="F16" s="13"/>
      <c r="G16" s="79">
        <v>2432504.4460700001</v>
      </c>
      <c r="H16" s="2"/>
      <c r="I16" s="75"/>
      <c r="J16" s="73">
        <f>ROUND(G16/D16,3)</f>
        <v>0.71</v>
      </c>
      <c r="K16" s="75"/>
      <c r="L16" s="88"/>
      <c r="O16" s="80">
        <v>0.1</v>
      </c>
    </row>
    <row r="17" spans="1:15" ht="13.15" x14ac:dyDescent="0.4">
      <c r="A17" s="249">
        <f t="shared" si="0"/>
        <v>43008</v>
      </c>
      <c r="B17" s="249"/>
      <c r="C17" s="2"/>
      <c r="D17" s="89">
        <v>3541465.9407205801</v>
      </c>
      <c r="E17" s="13"/>
      <c r="F17" s="13"/>
      <c r="G17" s="89">
        <v>3074816.9120299998</v>
      </c>
      <c r="H17" s="2"/>
      <c r="I17" s="75"/>
      <c r="J17" s="73">
        <f>ROUND(G17/D17,3)</f>
        <v>0.86799999999999999</v>
      </c>
      <c r="K17" s="75"/>
      <c r="L17" s="88"/>
      <c r="O17" s="80">
        <v>0.15</v>
      </c>
    </row>
    <row r="18" spans="1:15" ht="13.15" x14ac:dyDescent="0.4">
      <c r="A18" s="249">
        <f t="shared" si="0"/>
        <v>43373</v>
      </c>
      <c r="B18" s="249"/>
      <c r="C18" s="2"/>
      <c r="D18" s="89">
        <v>3718122.2920681802</v>
      </c>
      <c r="E18" s="13"/>
      <c r="F18" s="13"/>
      <c r="G18" s="89">
        <v>3011482.0110599999</v>
      </c>
      <c r="H18" s="2"/>
      <c r="I18" s="75"/>
      <c r="J18" s="73">
        <f>ROUND(G18/D18,3)</f>
        <v>0.81</v>
      </c>
      <c r="K18" s="75"/>
      <c r="L18" s="88"/>
      <c r="O18" s="80">
        <v>0.2</v>
      </c>
    </row>
    <row r="19" spans="1:15" ht="13.15" x14ac:dyDescent="0.4">
      <c r="A19" s="249">
        <f>DATE(YEAR(A20)-1,MONTH(A20),DAY(A20))</f>
        <v>43738</v>
      </c>
      <c r="B19" s="249"/>
      <c r="C19" s="2"/>
      <c r="D19" s="89">
        <v>3883339.9287247802</v>
      </c>
      <c r="E19" s="13"/>
      <c r="F19" s="13"/>
      <c r="G19" s="89">
        <v>3473068.5221500001</v>
      </c>
      <c r="H19" s="2"/>
      <c r="I19" s="75"/>
      <c r="J19" s="73">
        <f>ROUND(G19/D19,3)</f>
        <v>0.89400000000000002</v>
      </c>
      <c r="K19" s="75"/>
      <c r="L19" s="88"/>
      <c r="O19" s="78">
        <v>0.27500000000000002</v>
      </c>
    </row>
    <row r="20" spans="1:15" ht="13.15" x14ac:dyDescent="0.4">
      <c r="A20" s="249">
        <f>DZ_INPUTS!B3</f>
        <v>44104</v>
      </c>
      <c r="B20" s="249"/>
      <c r="C20" s="2"/>
      <c r="D20" s="89">
        <v>4422011.1066284096</v>
      </c>
      <c r="E20" s="13"/>
      <c r="F20" s="13"/>
      <c r="G20" s="89">
        <v>4757613.8550500004</v>
      </c>
      <c r="H20" s="2"/>
      <c r="I20" s="75"/>
      <c r="J20" s="73">
        <f>ROUND(G20/D20,3)</f>
        <v>1.0760000000000001</v>
      </c>
      <c r="K20" s="75"/>
      <c r="L20" s="88"/>
      <c r="O20" s="78">
        <v>0.27500000000000002</v>
      </c>
    </row>
    <row r="21" spans="1:15" ht="13.15" x14ac:dyDescent="0.4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</row>
    <row r="22" spans="1:15" ht="13.15" x14ac:dyDescent="0.4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</row>
    <row r="23" spans="1:15" ht="13.15" x14ac:dyDescent="0.4">
      <c r="A23" s="90" t="s">
        <v>227</v>
      </c>
      <c r="B23" s="239" t="s">
        <v>228</v>
      </c>
      <c r="C23" s="239"/>
      <c r="D23" s="239"/>
      <c r="E23" s="239"/>
      <c r="F23" s="2"/>
      <c r="G23" s="90" t="s">
        <v>242</v>
      </c>
      <c r="H23" s="82">
        <f>ROUND(SUMPRODUCT(J16:J20,O16:O20),3)</f>
        <v>0.90500000000000003</v>
      </c>
      <c r="I23" s="2"/>
      <c r="J23" s="2"/>
      <c r="K23" s="2"/>
    </row>
    <row r="24" spans="1:15" ht="13.15" x14ac:dyDescent="0.4">
      <c r="A24" s="47"/>
      <c r="B24" s="239"/>
      <c r="C24" s="239"/>
      <c r="D24" s="239"/>
      <c r="E24" s="239"/>
      <c r="F24" s="2"/>
      <c r="G24" s="47"/>
      <c r="H24" s="82"/>
      <c r="I24" s="2"/>
      <c r="J24" s="2"/>
      <c r="K24" s="2"/>
    </row>
    <row r="25" spans="1:15" ht="13.15" x14ac:dyDescent="0.4">
      <c r="A25" s="90" t="s">
        <v>230</v>
      </c>
      <c r="B25" s="239" t="s">
        <v>231</v>
      </c>
      <c r="C25" s="239"/>
      <c r="D25" s="239"/>
      <c r="E25" s="239"/>
      <c r="F25" s="2"/>
      <c r="G25" s="90" t="s">
        <v>242</v>
      </c>
      <c r="H25" s="82">
        <f>'EXHIBIT C10'!D18</f>
        <v>0.38500000000000001</v>
      </c>
      <c r="I25" s="2"/>
      <c r="J25" s="2"/>
      <c r="K25" s="2"/>
    </row>
    <row r="26" spans="1:15" ht="13.15" x14ac:dyDescent="0.4">
      <c r="A26" s="47"/>
      <c r="B26" s="239"/>
      <c r="C26" s="239"/>
      <c r="D26" s="239"/>
      <c r="E26" s="239"/>
      <c r="F26" s="2"/>
      <c r="G26" s="47"/>
      <c r="H26" s="82"/>
      <c r="I26" s="2"/>
      <c r="J26" s="2"/>
      <c r="K26" s="2"/>
    </row>
    <row r="27" spans="1:15" ht="13.15" x14ac:dyDescent="0.4">
      <c r="A27" s="90" t="s">
        <v>232</v>
      </c>
      <c r="B27" s="239" t="s">
        <v>233</v>
      </c>
      <c r="C27" s="239"/>
      <c r="D27" s="239"/>
      <c r="E27" s="239"/>
      <c r="F27" s="2"/>
      <c r="G27" s="90" t="s">
        <v>242</v>
      </c>
      <c r="H27" s="82">
        <f>'EXHIBIT B3'!H55</f>
        <v>0.98299999999999998</v>
      </c>
      <c r="I27" s="2"/>
      <c r="J27" s="2"/>
      <c r="K27" s="2"/>
    </row>
    <row r="28" spans="1:15" ht="13.15" x14ac:dyDescent="0.4">
      <c r="A28" s="47"/>
      <c r="B28" s="239"/>
      <c r="C28" s="239"/>
      <c r="D28" s="239"/>
      <c r="E28" s="239"/>
      <c r="F28" s="2"/>
      <c r="G28" s="47"/>
      <c r="H28" s="82"/>
      <c r="I28" s="2"/>
      <c r="J28" s="2"/>
      <c r="K28" s="2"/>
    </row>
    <row r="29" spans="1:15" ht="13.15" x14ac:dyDescent="0.4">
      <c r="A29" s="90" t="s">
        <v>234</v>
      </c>
      <c r="B29" s="239" t="s">
        <v>235</v>
      </c>
      <c r="C29" s="239"/>
      <c r="D29" s="239"/>
      <c r="E29" s="239"/>
      <c r="F29" s="2"/>
      <c r="G29" s="90" t="s">
        <v>242</v>
      </c>
      <c r="H29" s="82">
        <f>ROUND(H23*H25+(1-H25)*H27,3)</f>
        <v>0.95299999999999996</v>
      </c>
      <c r="I29" s="2"/>
      <c r="J29" s="2"/>
      <c r="K29" s="2"/>
    </row>
    <row r="30" spans="1:15" ht="13.15" x14ac:dyDescent="0.4">
      <c r="A30" s="47"/>
      <c r="B30" s="239"/>
      <c r="C30" s="239"/>
      <c r="D30" s="239"/>
      <c r="E30" s="239"/>
      <c r="F30" s="2"/>
      <c r="G30" s="47"/>
      <c r="H30" s="82"/>
      <c r="I30" s="2"/>
      <c r="J30" s="2"/>
      <c r="K30" s="2"/>
    </row>
    <row r="31" spans="1:15" ht="13.15" x14ac:dyDescent="0.4">
      <c r="A31" s="90" t="s">
        <v>236</v>
      </c>
      <c r="B31" s="239" t="s">
        <v>243</v>
      </c>
      <c r="C31" s="239"/>
      <c r="D31" s="239"/>
      <c r="E31" s="239"/>
      <c r="F31" s="2"/>
      <c r="G31" s="90" t="s">
        <v>242</v>
      </c>
      <c r="H31" s="82">
        <f>H29</f>
        <v>0.95299999999999996</v>
      </c>
      <c r="I31" s="42" t="s">
        <v>237</v>
      </c>
      <c r="J31" s="58">
        <f>H29-1</f>
        <v>-4.7000000000000042E-2</v>
      </c>
      <c r="K31" s="2"/>
    </row>
    <row r="32" spans="1:15" ht="13.15" x14ac:dyDescent="0.4">
      <c r="A32" s="47"/>
      <c r="B32" s="239"/>
      <c r="C32" s="239"/>
      <c r="D32" s="239"/>
      <c r="E32" s="239"/>
      <c r="F32" s="2"/>
      <c r="G32" s="47"/>
      <c r="H32" s="2"/>
      <c r="I32" s="2"/>
      <c r="J32" s="2"/>
      <c r="K32" s="2"/>
    </row>
    <row r="33" spans="1:11" ht="13.15" x14ac:dyDescent="0.4">
      <c r="A33" s="90" t="s">
        <v>238</v>
      </c>
      <c r="B33" s="239" t="s">
        <v>239</v>
      </c>
      <c r="C33" s="239"/>
      <c r="D33" s="239"/>
      <c r="E33" s="239"/>
      <c r="F33" s="2"/>
      <c r="G33" s="90" t="s">
        <v>242</v>
      </c>
      <c r="H33" s="83">
        <f>J31</f>
        <v>-4.7000000000000042E-2</v>
      </c>
      <c r="I33" s="2"/>
      <c r="J33" s="2"/>
      <c r="K33" s="2"/>
    </row>
    <row r="34" spans="1:11" ht="13.15" x14ac:dyDescent="0.4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1" ht="13.15" x14ac:dyDescent="0.4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1:11" ht="13.15" x14ac:dyDescent="0.4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1" ht="13.15" x14ac:dyDescent="0.4">
      <c r="A37" s="2"/>
      <c r="B37" s="239" t="str">
        <f>"NOTE: The assumed effective date for trending is "&amp;TEXT(DZ_INPUTS!$B$5,"m/d/yyyy")&amp;"."</f>
        <v>NOTE: The assumed effective date for trending is 3/1/2022.</v>
      </c>
      <c r="C37" s="239"/>
      <c r="D37" s="239"/>
      <c r="E37" s="239"/>
      <c r="F37" s="239"/>
      <c r="G37" s="239"/>
      <c r="H37" s="239"/>
      <c r="I37" s="2"/>
      <c r="J37" s="2"/>
      <c r="K37" s="2"/>
    </row>
  </sheetData>
  <mergeCells count="39">
    <mergeCell ref="B37:H37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A20:B20"/>
    <mergeCell ref="A13:B13"/>
    <mergeCell ref="C13:D13"/>
    <mergeCell ref="F13:G13"/>
    <mergeCell ref="I13:K13"/>
    <mergeCell ref="A14:B14"/>
    <mergeCell ref="C14:D14"/>
    <mergeCell ref="F14:G14"/>
    <mergeCell ref="A15:B15"/>
    <mergeCell ref="A16:B16"/>
    <mergeCell ref="A17:B17"/>
    <mergeCell ref="A18:B18"/>
    <mergeCell ref="A19:B19"/>
    <mergeCell ref="A12:B12"/>
    <mergeCell ref="C12:D12"/>
    <mergeCell ref="F12:G12"/>
    <mergeCell ref="A1:J1"/>
    <mergeCell ref="A2:K2"/>
    <mergeCell ref="A3:J3"/>
    <mergeCell ref="A4:K4"/>
    <mergeCell ref="A5:J5"/>
    <mergeCell ref="A6:K6"/>
    <mergeCell ref="A7:J7"/>
    <mergeCell ref="C10:D10"/>
    <mergeCell ref="F10:G10"/>
    <mergeCell ref="C11:D11"/>
    <mergeCell ref="F11:G11"/>
  </mergeCells>
  <printOptions horizontalCentered="1"/>
  <pageMargins left="0.7" right="0.7" top="0.75" bottom="0.75" header="0.3" footer="0.3"/>
  <pageSetup firstPageNumber="0" orientation="portrait" useFirstPageNumber="1" r:id="rId1"/>
  <headerFooter>
    <oddHeader>&amp;L&amp;"Times New Roman"&amp;9INSURANCE SERVICES OFFICE, INC.</oddHeader>
    <oddFooter>&amp;C&amp;"Times New Roman"&amp;9© Insurance Services Office, Inc., 2022        		OREGON        BP-2021-RLA1&amp;R&amp;"Times New Roman"&amp;9&amp;A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ircularDocsContentType" ma:contentTypeID="0x0101002A7B4D783DF0499AA9CFFB0BDFDF2D2C00B742AC3165F72545976B399ED8B6337E" ma:contentTypeVersion="13" ma:contentTypeDescription="Circular Documents Content Type" ma:contentTypeScope="" ma:versionID="267d83bae528d82fd6e8565c5c7345a2">
  <xsd:schema xmlns:xsd="http://www.w3.org/2001/XMLSchema" xmlns:xs="http://www.w3.org/2001/XMLSchema" xmlns:p="http://schemas.microsoft.com/office/2006/metadata/properties" xmlns:ns1="http://schemas.microsoft.com/sharepoint/v3" xmlns:ns2="a86cc342-0045-41e2-80e9-abdb777d2eca" targetNamespace="http://schemas.microsoft.com/office/2006/metadata/properties" ma:root="true" ma:fieldsID="9718fa7371f90dd60b7d6f40e817801b" ns1:_="" ns2:_="">
    <xsd:import namespace="http://schemas.microsoft.com/sharepoint/v3"/>
    <xsd:import namespace="a86cc342-0045-41e2-80e9-abdb777d2eca"/>
    <xsd:element name="properties">
      <xsd:complexType>
        <xsd:sequence>
          <xsd:element name="documentManagement">
            <xsd:complexType>
              <xsd:all>
                <xsd:element ref="ns2:CircularDocDescription" minOccurs="0"/>
                <xsd:element ref="ns2:DocumentName" minOccurs="0"/>
                <xsd:element ref="ns2:IncludeWithPDF" minOccurs="0"/>
                <xsd:element ref="ns2:AttachmentType" minOccurs="0"/>
                <xsd:element ref="ns2:Date_x0020_Modified" minOccurs="0"/>
                <xsd:element ref="ns2:Sequence" minOccurs="0"/>
                <xsd:element ref="ns2:IsStatusChanging" minOccurs="0"/>
                <xsd:element ref="ns2:CircularTitleDoc" minOccurs="0"/>
                <xsd:element ref="ns2:KeyMessageDoc" minOccurs="0"/>
                <xsd:element ref="ns2:NumberOfPages" minOccurs="0"/>
                <xsd:element ref="ns2:SPPageSequence" minOccurs="0"/>
                <xsd:element ref="ns2:SPSequence" minOccurs="0"/>
                <xsd:element ref="ns2:AuthorPDFSignoff" minOccurs="0"/>
                <xsd:element ref="ns2:ServiceModuleString" minOccurs="0"/>
                <xsd:element ref="ns2:CircularStatus" minOccurs="0"/>
                <xsd:element ref="ns2:CircId" minOccurs="0"/>
                <xsd:element ref="ns2:CircularTitle" minOccurs="0"/>
                <xsd:element ref="ns2:LOB" minOccurs="0"/>
                <xsd:element ref="ns2:CircularUpdate" minOccurs="0"/>
                <xsd:element ref="ns2:AuthorName" minOccurs="0"/>
                <xsd:element ref="ns2:CircularDate" minOccurs="0"/>
                <xsd:element ref="ns2:ActionTopic" minOccurs="0"/>
                <xsd:element ref="ns2:AuthorId" minOccurs="0"/>
                <xsd:element ref="ns2:StatisticalService" minOccurs="0"/>
                <xsd:element ref="ns2:ServiceModule" minOccurs="0"/>
                <xsd:element ref="ns2:PDFSignOffNotification" minOccurs="0"/>
                <xsd:element ref="ns2:Jurs" minOccurs="0"/>
                <xsd:element ref="ns2:CorrectionCirculars" minOccurs="0"/>
                <xsd:element ref="ns2:Filings" minOccurs="0"/>
                <xsd:element ref="ns2:PSDPDFSignoff" minOccurs="0"/>
                <xsd:element ref="ns2:KeyMessage" minOccurs="0"/>
                <xsd:element ref="ns2:CircularType" minOccurs="0"/>
                <xsd:element ref="ns2:ApplicableLOBs" minOccurs="0"/>
                <xsd:element ref="ns2:AdditionalCircularNumbers" minOccurs="0"/>
                <xsd:element ref="ns2:CircularNumber" minOccurs="0"/>
                <xsd:element ref="ns1:DocumentSetDescription" minOccurs="0"/>
                <xsd:element ref="ns2:CircularComments" minOccurs="0"/>
                <xsd:element ref="ns2:CircularNote" minOccurs="0"/>
                <xsd:element ref="ns2:Mast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ocumentSetDescription" ma:index="43" nillable="true" ma:displayName="Description" ma:description="A description of the Document Set" ma:internalName="DocumentSet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6cc342-0045-41e2-80e9-abdb777d2eca" elementFormDefault="qualified">
    <xsd:import namespace="http://schemas.microsoft.com/office/2006/documentManagement/types"/>
    <xsd:import namespace="http://schemas.microsoft.com/office/infopath/2007/PartnerControls"/>
    <xsd:element name="CircularDocDescription" ma:index="8" nillable="true" ma:displayName="Description" ma:default="Circular Letter" ma:internalName="CircularDocDescription" ma:readOnly="false">
      <xsd:simpleType>
        <xsd:restriction base="dms:Text">
          <xsd:maxLength value="255"/>
        </xsd:restriction>
      </xsd:simpleType>
    </xsd:element>
    <xsd:element name="DocumentName" ma:index="9" nillable="true" ma:displayName="Document Name" ma:default="Cover Letter.docx" ma:internalName="DocumentName">
      <xsd:simpleType>
        <xsd:restriction base="dms:Text">
          <xsd:maxLength value="255"/>
        </xsd:restriction>
      </xsd:simpleType>
    </xsd:element>
    <xsd:element name="IncludeWithPDF" ma:index="10" nillable="true" ma:displayName="IncWithPDF" ma:default="1" ma:internalName="IncludeWithPDF">
      <xsd:simpleType>
        <xsd:restriction base="dms:Boolean"/>
      </xsd:simpleType>
    </xsd:element>
    <xsd:element name="AttachmentType" ma:index="11" nillable="true" ma:displayName="AttachmentType" ma:default="Cover Letter" ma:format="Dropdown" ma:internalName="AttachmentType" ma:readOnly="false">
      <xsd:simpleType>
        <xsd:restriction base="dms:Choice">
          <xsd:enumeration value="Cover Letter"/>
          <xsd:enumeration value="EM"/>
          <xsd:enumeration value="Form"/>
          <xsd:enumeration value="Class Table"/>
          <xsd:enumeration value="Experience Review"/>
          <xsd:enumeration value="Manual Page(s)"/>
          <xsd:enumeration value="Excel Filing Exhibits"/>
          <xsd:enumeration value="Actuarial Support"/>
          <xsd:enumeration value="Rating Relativities and Factors"/>
          <xsd:enumeration value="Supplementary Information"/>
          <xsd:enumeration value="Stat Plan"/>
          <xsd:enumeration value="Status Report"/>
          <xsd:enumeration value="Workbook"/>
          <xsd:enumeration value="Other"/>
        </xsd:restriction>
      </xsd:simpleType>
    </xsd:element>
    <xsd:element name="Date_x0020_Modified" ma:index="12" nillable="true" ma:displayName="DateModified" ma:internalName="Date_x0020_Modified">
      <xsd:simpleType>
        <xsd:restriction base="dms:DateTime"/>
      </xsd:simpleType>
    </xsd:element>
    <xsd:element name="Sequence" ma:index="13" nillable="true" ma:displayName="Sequence" ma:default="0" ma:internalName="Sequence" ma:readOnly="false" ma:percentage="FALSE">
      <xsd:simpleType>
        <xsd:restriction base="dms:Number"/>
      </xsd:simpleType>
    </xsd:element>
    <xsd:element name="IsStatusChanging" ma:index="14" nillable="true" ma:displayName="IsStatusChanging" ma:default="N" ma:internalName="IsStatusChanging" ma:readOnly="false">
      <xsd:simpleType>
        <xsd:restriction base="dms:Text">
          <xsd:maxLength value="255"/>
        </xsd:restriction>
      </xsd:simpleType>
    </xsd:element>
    <xsd:element name="CircularTitleDoc" ma:index="15" nillable="true" ma:displayName="CircularTitleDoc" ma:internalName="CircularTitleDoc">
      <xsd:simpleType>
        <xsd:restriction base="dms:Text"/>
      </xsd:simpleType>
    </xsd:element>
    <xsd:element name="KeyMessageDoc" ma:index="16" nillable="true" ma:displayName="KeyMessageDoc" ma:internalName="KeyMessageDoc">
      <xsd:simpleType>
        <xsd:restriction base="dms:Text"/>
      </xsd:simpleType>
    </xsd:element>
    <xsd:element name="NumberOfPages" ma:index="17" nillable="true" ma:displayName="NumberOfPages" ma:internalName="NumberOfPages">
      <xsd:simpleType>
        <xsd:restriction base="dms:Number"/>
      </xsd:simpleType>
    </xsd:element>
    <xsd:element name="SPPageSequence" ma:index="18" nillable="true" ma:displayName="SPPageSequence" ma:default="0" ma:internalName="SPPageSequence" ma:readOnly="false" ma:percentage="FALSE">
      <xsd:simpleType>
        <xsd:restriction base="dms:Number"/>
      </xsd:simpleType>
    </xsd:element>
    <xsd:element name="SPSequence" ma:index="19" nillable="true" ma:displayName="SPSequence" ma:default="0" ma:internalName="SPSequence" ma:readOnly="false" ma:percentage="FALSE">
      <xsd:simpleType>
        <xsd:restriction base="dms:Number"/>
      </xsd:simpleType>
    </xsd:element>
    <xsd:element name="AuthorPDFSignoff" ma:index="20" nillable="true" ma:displayName="AuthorPDFSignoff" ma:internalName="AuthorPDFSignoff">
      <xsd:simpleType>
        <xsd:restriction base="dms:Boolean"/>
      </xsd:simpleType>
    </xsd:element>
    <xsd:element name="ServiceModuleString" ma:index="21" nillable="true" ma:displayName="ServiceModuleString" ma:internalName="ServiceModuleString">
      <xsd:simpleType>
        <xsd:restriction base="dms:Text"/>
      </xsd:simpleType>
    </xsd:element>
    <xsd:element name="CircularStatus" ma:index="22" nillable="true" ma:displayName="Circular Status" ma:internalName="CircularStatus">
      <xsd:simpleType>
        <xsd:restriction base="dms:Text"/>
      </xsd:simpleType>
    </xsd:element>
    <xsd:element name="CircId" ma:index="23" nillable="true" ma:displayName="CircId" ma:internalName="CircId">
      <xsd:simpleType>
        <xsd:restriction base="dms:Number"/>
      </xsd:simpleType>
    </xsd:element>
    <xsd:element name="CircularTitle" ma:index="24" nillable="true" ma:displayName="CircularTitle" ma:internalName="CircularTitle">
      <xsd:simpleType>
        <xsd:restriction base="dms:Text"/>
      </xsd:simpleType>
    </xsd:element>
    <xsd:element name="LOB" ma:index="25" nillable="true" ma:displayName="LOB" ma:list="{8736175c-71c1-4dcc-ba05-e6e29f8d0b47}" ma:internalName="LOB" ma:showField="Title" ma:web="{a86cc342-0045-41e2-80e9-abdb777d2eca}">
      <xsd:simpleType>
        <xsd:restriction base="dms:Lookup"/>
      </xsd:simpleType>
    </xsd:element>
    <xsd:element name="CircularUpdate" ma:index="26" nillable="true" ma:displayName="CircularUpdate" ma:internalName="CircularUpdate">
      <xsd:simpleType>
        <xsd:restriction base="dms:Text"/>
      </xsd:simpleType>
    </xsd:element>
    <xsd:element name="AuthorName" ma:index="27" nillable="true" ma:displayName="AuthorName" ma:internalName="AuthorName">
      <xsd:simpleType>
        <xsd:restriction base="dms:Text"/>
      </xsd:simpleType>
    </xsd:element>
    <xsd:element name="CircularDate" ma:index="28" nillable="true" ma:displayName="Circular Date" ma:format="DateOnly" ma:internalName="CircularDate">
      <xsd:simpleType>
        <xsd:restriction base="dms:DateTime"/>
      </xsd:simpleType>
    </xsd:element>
    <xsd:element name="ActionTopic" ma:index="29" nillable="true" ma:displayName="ActionTopic" ma:list="{8cf09306-aa85-461c-b436-282fcc4ce222}" ma:internalName="ActionTopic" ma:showField="Title" ma:web="{a86cc342-0045-41e2-80e9-abdb777d2eca}">
      <xsd:simpleType>
        <xsd:restriction base="dms:Lookup"/>
      </xsd:simpleType>
    </xsd:element>
    <xsd:element name="AuthorId" ma:index="30" nillable="true" ma:displayName="AuthorId" ma:internalName="AuthorId">
      <xsd:simpleType>
        <xsd:restriction base="dms:Text"/>
      </xsd:simpleType>
    </xsd:element>
    <xsd:element name="StatisticalService" ma:index="31" nillable="true" ma:displayName="Statistical Service" ma:default="" ma:internalName="StatisticalServic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CSP Commercial Lines Plans"/>
                    <xsd:enumeration value="PASP Personal Automobile Plans"/>
                    <xsd:enumeration value="PLSP Personal Lines Plans (Other than Auto)"/>
                  </xsd:restriction>
                </xsd:simpleType>
              </xsd:element>
            </xsd:sequence>
          </xsd:extension>
        </xsd:complexContent>
      </xsd:complexType>
    </xsd:element>
    <xsd:element name="ServiceModule" ma:index="32" nillable="true" ma:displayName="ServiceModule" ma:list="{fd5e46f0-7a9f-4370-8bd9-8c092f512937}" ma:internalName="ServiceModule" ma:showField="Title" ma:web="{a86cc342-0045-41e2-80e9-abdb777d2eca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DFSignOffNotification" ma:index="33" nillable="true" ma:displayName="PDFSignOffNotification" ma:internalName="PDFSignOffNotification">
      <xsd:simpleType>
        <xsd:restriction base="dms:Boolean"/>
      </xsd:simpleType>
    </xsd:element>
    <xsd:element name="Jurs" ma:index="34" nillable="true" ma:displayName="Jurisdiction" ma:list="{af5288c7-9453-4bdf-a857-253efead2732}" ma:internalName="Jurs" ma:showField="Title" ma:web="{a86cc342-0045-41e2-80e9-abdb777d2eca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CorrectionCirculars" ma:index="35" nillable="true" ma:displayName="Correction Circular(s)" ma:internalName="CorrectionCirculars">
      <xsd:simpleType>
        <xsd:restriction base="dms:Text"/>
      </xsd:simpleType>
    </xsd:element>
    <xsd:element name="Filings" ma:index="36" nillable="true" ma:displayName="Filings" ma:internalName="Filings">
      <xsd:simpleType>
        <xsd:restriction base="dms:Text"/>
      </xsd:simpleType>
    </xsd:element>
    <xsd:element name="PSDPDFSignoff" ma:index="37" nillable="true" ma:displayName="PSDPDFSignoff" ma:internalName="PSDPDFSignoff">
      <xsd:simpleType>
        <xsd:restriction base="dms:Boolean"/>
      </xsd:simpleType>
    </xsd:element>
    <xsd:element name="KeyMessage" ma:index="38" nillable="true" ma:displayName="Key Message" ma:internalName="KeyMessage">
      <xsd:simpleType>
        <xsd:restriction base="dms:Text"/>
      </xsd:simpleType>
    </xsd:element>
    <xsd:element name="CircularType" ma:index="39" nillable="true" ma:displayName="Circular Type" ma:list="{45810e60-277d-4ddf-b694-2010859d9a28}" ma:internalName="CircularType" ma:showField="Title" ma:web="{a86cc342-0045-41e2-80e9-abdb777d2eca}">
      <xsd:simpleType>
        <xsd:restriction base="dms:Lookup"/>
      </xsd:simpleType>
    </xsd:element>
    <xsd:element name="ApplicableLOBs" ma:index="40" nillable="true" ma:displayName="Applicable LOBs" ma:list="{8736175c-71c1-4dcc-ba05-e6e29f8d0b47}" ma:internalName="ApplicableLOBs" ma:showField="Title" ma:web="{a86cc342-0045-41e2-80e9-abdb777d2eca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dditionalCircularNumbers" ma:index="41" nillable="true" ma:displayName="Additional Circular Numbers" ma:internalName="AdditionalCircularNumbers">
      <xsd:simpleType>
        <xsd:restriction base="dms:Text"/>
      </xsd:simpleType>
    </xsd:element>
    <xsd:element name="CircularNumber" ma:index="42" nillable="true" ma:displayName="Circular Number" ma:internalName="CircularNumber">
      <xsd:simpleType>
        <xsd:restriction base="dms:Text">
          <xsd:maxLength value="14"/>
        </xsd:restriction>
      </xsd:simpleType>
    </xsd:element>
    <xsd:element name="CircularComments" ma:index="44" nillable="true" ma:displayName="Circular Comments" ma:internalName="CircularComments">
      <xsd:simpleType>
        <xsd:restriction base="dms:Note">
          <xsd:maxLength value="255"/>
        </xsd:restriction>
      </xsd:simpleType>
    </xsd:element>
    <xsd:element name="CircularNote" ma:index="45" nillable="true" ma:displayName="CircularNote" ma:internalName="CircularNote">
      <xsd:simpleType>
        <xsd:restriction base="dms:Note">
          <xsd:maxLength value="255"/>
        </xsd:restriction>
      </xsd:simpleType>
    </xsd:element>
    <xsd:element name="Master" ma:index="46" nillable="true" ma:displayName="Master" ma:list="{61da4825-2bf0-443d-b1fa-b0d3a561061d}" ma:internalName="Master" ma:showField="ID" ma:web="a86cc342-0045-41e2-80e9-abdb777d2eca">
      <xsd:simpleType>
        <xsd:restriction base="dms:Lookup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umentName xmlns="a86cc342-0045-41e2-80e9-abdb777d2eca">LI-BP-2022-032 - 003 - Filing Exhibits.xlsx</DocumentName>
    <LOB xmlns="a86cc342-0045-41e2-80e9-abdb777d2eca">5</LOB>
    <Filings xmlns="a86cc342-0045-41e2-80e9-abdb777d2eca" xsi:nil="true"/>
    <AdditionalCircularNumbers xmlns="a86cc342-0045-41e2-80e9-abdb777d2eca" xsi:nil="true"/>
    <ServiceModule xmlns="a86cc342-0045-41e2-80e9-abdb777d2eca">
      <Value>8</Value>
    </ServiceModule>
    <CorrectionCirculars xmlns="a86cc342-0045-41e2-80e9-abdb777d2eca" xsi:nil="true"/>
    <CircularUpdate xmlns="a86cc342-0045-41e2-80e9-abdb777d2eca" xsi:nil="true"/>
    <StatisticalService xmlns="a86cc342-0045-41e2-80e9-abdb777d2eca"/>
    <AuthorId xmlns="a86cc342-0045-41e2-80e9-abdb777d2eca">i64950</AuthorId>
    <CircularDocDescription xmlns="a86cc342-0045-41e2-80e9-abdb777d2eca">Filing Exhibits</CircularDocDescription>
    <Date_x0020_Modified xmlns="a86cc342-0045-41e2-80e9-abdb777d2eca">2022-01-27T05:00:00+00:00</Date_x0020_Modified>
    <CircularDate xmlns="a86cc342-0045-41e2-80e9-abdb777d2eca">2022-02-16T05:00:00+00:00</CircularDate>
    <PSDPDFSignoff xmlns="a86cc342-0045-41e2-80e9-abdb777d2eca" xsi:nil="true"/>
    <SPPageSequence xmlns="a86cc342-0045-41e2-80e9-abdb777d2eca">0</SPPageSequence>
    <DocumentSetDescription xmlns="http://schemas.microsoft.com/sharepoint/v3" xsi:nil="true"/>
    <CircularTitleDoc xmlns="a86cc342-0045-41e2-80e9-abdb777d2eca" xsi:nil="true"/>
    <PDFSignOffNotification xmlns="a86cc342-0045-41e2-80e9-abdb777d2eca">false</PDFSignOffNotification>
    <KeyMessage xmlns="a86cc342-0045-41e2-80e9-abdb777d2eca">Revised loss costs representing a combined +10.1% statewide change to be implemented.</KeyMessage>
    <CircularNumber xmlns="a86cc342-0045-41e2-80e9-abdb777d2eca">LI-BP-2022-032</CircularNumber>
    <AttachmentType xmlns="a86cc342-0045-41e2-80e9-abdb777d2eca">Excel Filing Exhibits</AttachmentType>
    <ActionTopic xmlns="a86cc342-0045-41e2-80e9-abdb777d2eca">9</ActionTopic>
    <CircularType xmlns="a86cc342-0045-41e2-80e9-abdb777d2eca">9</CircularType>
    <SPSequence xmlns="a86cc342-0045-41e2-80e9-abdb777d2eca">0</SPSequence>
    <CircularNote xmlns="a86cc342-0045-41e2-80e9-abdb777d2eca" xsi:nil="true"/>
    <CircularComments xmlns="a86cc342-0045-41e2-80e9-abdb777d2eca" xsi:nil="true"/>
    <AuthorPDFSignoff xmlns="a86cc342-0045-41e2-80e9-abdb777d2eca" xsi:nil="true"/>
    <AuthorName xmlns="a86cc342-0045-41e2-80e9-abdb777d2eca">Jones, William</AuthorName>
    <Sequence xmlns="a86cc342-0045-41e2-80e9-abdb777d2eca">2</Sequence>
    <ServiceModuleString xmlns="a86cc342-0045-41e2-80e9-abdb777d2eca">Loss Costs;</ServiceModuleString>
    <CircId xmlns="a86cc342-0045-41e2-80e9-abdb777d2eca">34770</CircId>
    <IncludeWithPDF xmlns="a86cc342-0045-41e2-80e9-abdb777d2eca">true</IncludeWithPDF>
    <ApplicableLOBs xmlns="a86cc342-0045-41e2-80e9-abdb777d2eca"/>
    <Master xmlns="a86cc342-0045-41e2-80e9-abdb777d2eca" xsi:nil="true"/>
    <CircularStatus xmlns="a86cc342-0045-41e2-80e9-abdb777d2eca">QA Review</CircularStatus>
    <IsStatusChanging xmlns="a86cc342-0045-41e2-80e9-abdb777d2eca">Y</IsStatusChanging>
    <NumberOfPages xmlns="a86cc342-0045-41e2-80e9-abdb777d2eca" xsi:nil="true"/>
    <KeyMessageDoc xmlns="a86cc342-0045-41e2-80e9-abdb777d2eca" xsi:nil="true"/>
    <CircularTitle xmlns="a86cc342-0045-41e2-80e9-abdb777d2eca">OREGON BUSINESSOWNERS ADVISORY PROSPECTIVE LOSS COST REVISION TO BE IMPLEMENTED; EXHIBITS PRESENTED IN EXCEL</CircularTitle>
    <Jurs xmlns="a86cc342-0045-41e2-80e9-abdb777d2eca">
      <Value>39</Value>
    </Jurs>
  </documentManagement>
</p:properties>
</file>

<file path=customXml/itemProps1.xml><?xml version="1.0" encoding="utf-8"?>
<ds:datastoreItem xmlns:ds="http://schemas.openxmlformats.org/officeDocument/2006/customXml" ds:itemID="{B9818C84-647D-4E95-A433-AF672B644C58}"/>
</file>

<file path=customXml/itemProps2.xml><?xml version="1.0" encoding="utf-8"?>
<ds:datastoreItem xmlns:ds="http://schemas.openxmlformats.org/officeDocument/2006/customXml" ds:itemID="{CE69E87E-8C08-420F-B27B-04DA9625238E}"/>
</file>

<file path=customXml/itemProps3.xml><?xml version="1.0" encoding="utf-8"?>
<ds:datastoreItem xmlns:ds="http://schemas.openxmlformats.org/officeDocument/2006/customXml" ds:itemID="{24F53D08-21A6-4C57-B175-17B68EC34B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40</vt:i4>
      </vt:variant>
      <vt:variant>
        <vt:lpstr>Named Ranges</vt:lpstr>
      </vt:variant>
      <vt:variant>
        <vt:i4>148</vt:i4>
      </vt:variant>
    </vt:vector>
  </HeadingPairs>
  <TitlesOfParts>
    <vt:vector size="188" baseType="lpstr">
      <vt:lpstr>User Notes</vt:lpstr>
      <vt:lpstr>DZ_INPUTS</vt:lpstr>
      <vt:lpstr>EXHIBIT A1</vt:lpstr>
      <vt:lpstr>EXHIBIT A2-1</vt:lpstr>
      <vt:lpstr>EXHIBIT A2-2</vt:lpstr>
      <vt:lpstr>EXHIBIT A2-3</vt:lpstr>
      <vt:lpstr>EXHIBIT A3</vt:lpstr>
      <vt:lpstr>EXHIBIT B1-1</vt:lpstr>
      <vt:lpstr>EXHIBIT B1-2</vt:lpstr>
      <vt:lpstr>EXHIBIT B1-3</vt:lpstr>
      <vt:lpstr>EXHIBIT B1-4</vt:lpstr>
      <vt:lpstr>EXHIBIT B2-1</vt:lpstr>
      <vt:lpstr>EXHIBIT B2-2</vt:lpstr>
      <vt:lpstr>EXHIBIT B3</vt:lpstr>
      <vt:lpstr>EXHIBIT C1</vt:lpstr>
      <vt:lpstr>EXHIBIT C2</vt:lpstr>
      <vt:lpstr>EXHIBIT C3</vt:lpstr>
      <vt:lpstr>EXHIBIT C4-1</vt:lpstr>
      <vt:lpstr>EXHIBIT C4-2</vt:lpstr>
      <vt:lpstr>EXHIBIT C4-3</vt:lpstr>
      <vt:lpstr>EXHIBIT C4-4</vt:lpstr>
      <vt:lpstr>EXHIBIT C4-5</vt:lpstr>
      <vt:lpstr>EXHIBIT C4-6</vt:lpstr>
      <vt:lpstr>EXHIBIT C4-7</vt:lpstr>
      <vt:lpstr>EXHIBIT C5</vt:lpstr>
      <vt:lpstr>EXHIBIT C6</vt:lpstr>
      <vt:lpstr>EXHIBIT C7-1</vt:lpstr>
      <vt:lpstr>EXHIBIT C7-2</vt:lpstr>
      <vt:lpstr>EXHIBIT C7-3</vt:lpstr>
      <vt:lpstr>EXHIBIT C7-4</vt:lpstr>
      <vt:lpstr>EXHIBIT C8-1</vt:lpstr>
      <vt:lpstr>EXHIBIT C8-2</vt:lpstr>
      <vt:lpstr>EXHIBIT C8-3</vt:lpstr>
      <vt:lpstr>EXHIBIT C8-4</vt:lpstr>
      <vt:lpstr>EXHIBIT C9</vt:lpstr>
      <vt:lpstr>EXHIBIT C10</vt:lpstr>
      <vt:lpstr>EXHIBIT C11-1</vt:lpstr>
      <vt:lpstr>EXHIBIT C11-2</vt:lpstr>
      <vt:lpstr>EXHIBIT C11-3</vt:lpstr>
      <vt:lpstr>EXHIBIT D1</vt:lpstr>
      <vt:lpstr>_A21CapFootnote</vt:lpstr>
      <vt:lpstr>_A22CapFootnote</vt:lpstr>
      <vt:lpstr>_A3LiabTerrs</vt:lpstr>
      <vt:lpstr>_A3PropTerrs</vt:lpstr>
      <vt:lpstr>_A3SPTerrs</vt:lpstr>
      <vt:lpstr>_AOPER</vt:lpstr>
      <vt:lpstr>_aopXSEarnedPrem</vt:lpstr>
      <vt:lpstr>_aopXSIncLoss</vt:lpstr>
      <vt:lpstr>_aopXSLR</vt:lpstr>
      <vt:lpstr>_aopXSNormalLoss</vt:lpstr>
      <vt:lpstr>_aopXSNormalLR</vt:lpstr>
      <vt:lpstr>_aopXSyears</vt:lpstr>
      <vt:lpstr>_BC1AOPTot</vt:lpstr>
      <vt:lpstr>_BC1CapInd</vt:lpstr>
      <vt:lpstr>_BC1ECTot</vt:lpstr>
      <vt:lpstr>_BC1FireTot</vt:lpstr>
      <vt:lpstr>_BC1LCchange</vt:lpstr>
      <vt:lpstr>_BC1LCCL</vt:lpstr>
      <vt:lpstr>_BC1PresentLC</vt:lpstr>
      <vt:lpstr>_BC1RevisedLC</vt:lpstr>
      <vt:lpstr>_BC1Terrs</vt:lpstr>
      <vt:lpstr>_BC2AOPTot</vt:lpstr>
      <vt:lpstr>_BC2BurgTot</vt:lpstr>
      <vt:lpstr>_BC2CapInd</vt:lpstr>
      <vt:lpstr>_BC2ECTot</vt:lpstr>
      <vt:lpstr>_BC2FireTot</vt:lpstr>
      <vt:lpstr>_BC2LCchange</vt:lpstr>
      <vt:lpstr>_BC2LCCL</vt:lpstr>
      <vt:lpstr>_BC2PresentLC</vt:lpstr>
      <vt:lpstr>_BC2RevisedLC</vt:lpstr>
      <vt:lpstr>_BC2Terrs</vt:lpstr>
      <vt:lpstr>_BC3CapInd</vt:lpstr>
      <vt:lpstr>_BC3LCchange</vt:lpstr>
      <vt:lpstr>_BC3LCCL</vt:lpstr>
      <vt:lpstr>_BC3LiabTot</vt:lpstr>
      <vt:lpstr>_BC3PresentLC</vt:lpstr>
      <vt:lpstr>_BC3RevisedLC</vt:lpstr>
      <vt:lpstr>_BC3Terrs</vt:lpstr>
      <vt:lpstr>_BC4CapInd</vt:lpstr>
      <vt:lpstr>_BC4LCchange</vt:lpstr>
      <vt:lpstr>_BC4LCCL</vt:lpstr>
      <vt:lpstr>_BC4LiabTot</vt:lpstr>
      <vt:lpstr>_BC4PresentLC</vt:lpstr>
      <vt:lpstr>_BC4RevisedLC</vt:lpstr>
      <vt:lpstr>_BC4Terrs</vt:lpstr>
      <vt:lpstr>_BCLCchange</vt:lpstr>
      <vt:lpstr>_BurgER</vt:lpstr>
      <vt:lpstr>_dorcBC1BalanceBailey</vt:lpstr>
      <vt:lpstr>_dorcBC1BalanceChg</vt:lpstr>
      <vt:lpstr>_dorcBC1EarnedRisk</vt:lpstr>
      <vt:lpstr>_dorcBC1FinalChg</vt:lpstr>
      <vt:lpstr>_dorcBC1LCCL</vt:lpstr>
      <vt:lpstr>_dorcBC1Loss</vt:lpstr>
      <vt:lpstr>_dorcBC2BalanceBailey</vt:lpstr>
      <vt:lpstr>_dorcBC2BalanceChg</vt:lpstr>
      <vt:lpstr>_dorcBC2EarnedRisk</vt:lpstr>
      <vt:lpstr>_dorcBC2FinalChg</vt:lpstr>
      <vt:lpstr>_dorcBC2LCCL</vt:lpstr>
      <vt:lpstr>_dorcBC2Loss</vt:lpstr>
      <vt:lpstr>_dorcBC3BalanceBailey</vt:lpstr>
      <vt:lpstr>_dorcBC3BalanceChg</vt:lpstr>
      <vt:lpstr>_dorcBC3EarnedRisk</vt:lpstr>
      <vt:lpstr>_dorcBC3FinalChg</vt:lpstr>
      <vt:lpstr>_dorcBC3LCCL</vt:lpstr>
      <vt:lpstr>_dorcBC3Loss</vt:lpstr>
      <vt:lpstr>_dorcBC4BalanceBailey</vt:lpstr>
      <vt:lpstr>_dorcBC4BalanceChg</vt:lpstr>
      <vt:lpstr>_dorcBC4EarnedRisk</vt:lpstr>
      <vt:lpstr>_dorcBC4FinalChg</vt:lpstr>
      <vt:lpstr>_dorcBC4LCCL</vt:lpstr>
      <vt:lpstr>_dorcBC4Loss</vt:lpstr>
      <vt:lpstr>_ECER</vt:lpstr>
      <vt:lpstr>_ecXSEarnedPrem</vt:lpstr>
      <vt:lpstr>_ecXSIncLoss</vt:lpstr>
      <vt:lpstr>_ecXSLR</vt:lpstr>
      <vt:lpstr>_ecXSNormalLoss</vt:lpstr>
      <vt:lpstr>_ecXSNormalLR</vt:lpstr>
      <vt:lpstr>_ecXSRegionLR</vt:lpstr>
      <vt:lpstr>_ecXSRegionXSComp</vt:lpstr>
      <vt:lpstr>_ecXSyears</vt:lpstr>
      <vt:lpstr>_FireER</vt:lpstr>
      <vt:lpstr>_LiabDorcBalanceBailey</vt:lpstr>
      <vt:lpstr>_liabDorcBalanceChg</vt:lpstr>
      <vt:lpstr>_liabDorcEarnedRisk</vt:lpstr>
      <vt:lpstr>_liabDorcFinalChg</vt:lpstr>
      <vt:lpstr>_liabDorcLCCL</vt:lpstr>
      <vt:lpstr>_LiabDorcLoss</vt:lpstr>
      <vt:lpstr>_LiabDorcTerrs</vt:lpstr>
      <vt:lpstr>_LiabEarnedRisk</vt:lpstr>
      <vt:lpstr>_LiabLCCL</vt:lpstr>
      <vt:lpstr>_LiabLoss</vt:lpstr>
      <vt:lpstr>_liabTerrs</vt:lpstr>
      <vt:lpstr>_PayrollPresentLC</vt:lpstr>
      <vt:lpstr>_PayrollRevisedLC</vt:lpstr>
      <vt:lpstr>_PropDorcBalanceBailey</vt:lpstr>
      <vt:lpstr>_PropDorcBalanceChg</vt:lpstr>
      <vt:lpstr>_PropDorcEarnedRisk</vt:lpstr>
      <vt:lpstr>_PropDorcFinalChg</vt:lpstr>
      <vt:lpstr>_PropDorcLCCL</vt:lpstr>
      <vt:lpstr>_PropDorcLoss</vt:lpstr>
      <vt:lpstr>_propDorcTerrs</vt:lpstr>
      <vt:lpstr>_PropEarnedRisk</vt:lpstr>
      <vt:lpstr>_PropLCCL</vt:lpstr>
      <vt:lpstr>_PropLoss</vt:lpstr>
      <vt:lpstr>_PropTerrs</vt:lpstr>
      <vt:lpstr>_SalesPresentLC</vt:lpstr>
      <vt:lpstr>_SalesRevisedLC</vt:lpstr>
      <vt:lpstr>_SecD1Terrs</vt:lpstr>
      <vt:lpstr>_SecD1TotalLoss</vt:lpstr>
      <vt:lpstr>_SecD1WHLoss</vt:lpstr>
      <vt:lpstr>_SecDTotal</vt:lpstr>
      <vt:lpstr>LessorIndChange</vt:lpstr>
      <vt:lpstr>LessorSWLCChange</vt:lpstr>
      <vt:lpstr>LessorSWlyLCCL</vt:lpstr>
      <vt:lpstr>LiabEarnedRisk</vt:lpstr>
      <vt:lpstr>PayrollIndChange</vt:lpstr>
      <vt:lpstr>PayrollSWLCChange</vt:lpstr>
      <vt:lpstr>PayrollSWLCCL</vt:lpstr>
      <vt:lpstr>'EXHIBIT B1-1'!Print_Area</vt:lpstr>
      <vt:lpstr>'EXHIBIT B1-2'!Print_Area</vt:lpstr>
      <vt:lpstr>'EXHIBIT B1-3'!Print_Area</vt:lpstr>
      <vt:lpstr>'EXHIBIT B1-4'!Print_Area</vt:lpstr>
      <vt:lpstr>'EXHIBIT B3'!Print_Area</vt:lpstr>
      <vt:lpstr>'EXHIBIT C2'!Print_Area</vt:lpstr>
      <vt:lpstr>'EXHIBIT C3'!Print_Area</vt:lpstr>
      <vt:lpstr>'EXHIBIT C4-3'!Print_Area</vt:lpstr>
      <vt:lpstr>'EXHIBIT C4-4'!Print_Area</vt:lpstr>
      <vt:lpstr>'EXHIBIT C4-5'!Print_Area</vt:lpstr>
      <vt:lpstr>'EXHIBIT C4-6'!Print_Area</vt:lpstr>
      <vt:lpstr>'EXHIBIT C4-7'!Print_Area</vt:lpstr>
      <vt:lpstr>'EXHIBIT C5'!Print_Area</vt:lpstr>
      <vt:lpstr>'EXHIBIT C6'!Print_Area</vt:lpstr>
      <vt:lpstr>'EXHIBIT C7-1'!Print_Area</vt:lpstr>
      <vt:lpstr>'EXHIBIT C7-2'!Print_Area</vt:lpstr>
      <vt:lpstr>'EXHIBIT C8-1'!Print_Area</vt:lpstr>
      <vt:lpstr>'EXHIBIT C8-2'!Print_Area</vt:lpstr>
      <vt:lpstr>'EXHIBIT C8-3'!Print_Area</vt:lpstr>
      <vt:lpstr>'EXHIBIT C8-4'!Print_Area</vt:lpstr>
      <vt:lpstr>'EXHIBIT C9'!Print_Area</vt:lpstr>
      <vt:lpstr>PropIndChange</vt:lpstr>
      <vt:lpstr>PropSW5lyLCCL</vt:lpstr>
      <vt:lpstr>PropSWLCChange</vt:lpstr>
      <vt:lpstr>PropSWLCLevelChange</vt:lpstr>
      <vt:lpstr>PropTotSWlyLCCL</vt:lpstr>
      <vt:lpstr>SalesIndChange</vt:lpstr>
      <vt:lpstr>SalesSWLCChange</vt:lpstr>
      <vt:lpstr>SalesSWLCCL</vt:lpstr>
      <vt:lpstr>state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Dorsey, Reginald I.</dc:creator>
  <cp:lastModifiedBy>Narisi, Nancy A.</cp:lastModifiedBy>
  <cp:lastPrinted>2022-01-26T17:09:19Z</cp:lastPrinted>
  <dcterms:created xsi:type="dcterms:W3CDTF">2021-12-14T22:29:34Z</dcterms:created>
  <dcterms:modified xsi:type="dcterms:W3CDTF">2022-01-26T17:09:32Z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0x0101002A7B4D783DF0499AA9CFFB0BDFDF2D2C00B742AC3165F72545976B399ED8B6337E</vt:lpwstr>
  </property>
  <property fmtid="{D5CDD505-2E9C-101B-9397-08002B2CF9AE}" pid="3" name="Service1">
    <vt:lpwstr>LC</vt:lpwstr>
  </property>
  <property fmtid="{D5CDD505-2E9C-101B-9397-08002B2CF9AE}" pid="4" name="_docset_NoMedatataSyncRequired">
    <vt:lpwstr>False</vt:lpwstr>
  </property>
</Properties>
</file>